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jekt\Panda_fun\"/>
    </mc:Choice>
  </mc:AlternateContent>
  <xr:revisionPtr revIDLastSave="0" documentId="13_ncr:1_{D8F75956-F8AE-4768-BC27-03587DFE5E7A}" xr6:coauthVersionLast="47" xr6:coauthVersionMax="47" xr10:uidLastSave="{00000000-0000-0000-0000-000000000000}"/>
  <bookViews>
    <workbookView xWindow="3030" yWindow="0" windowWidth="52215" windowHeight="15600" tabRatio="885" activeTab="2" xr2:uid="{00000000-000D-0000-FFFF-FFFF00000000}"/>
  </bookViews>
  <sheets>
    <sheet name="Sparande" sheetId="1" r:id="rId1"/>
    <sheet name="25e November 2020" sheetId="2" r:id="rId2"/>
    <sheet name="25e December 2020" sheetId="3" r:id="rId3"/>
    <sheet name="25e Januari 2021" sheetId="4" r:id="rId4"/>
    <sheet name="25e Februari 2021" sheetId="5" r:id="rId5"/>
    <sheet name="25e Mars 2021" sheetId="6" r:id="rId6"/>
    <sheet name="25e April 2021" sheetId="7" r:id="rId7"/>
    <sheet name="25e Maj 2021" sheetId="8" r:id="rId8"/>
    <sheet name="25e Juni 2021" sheetId="9" r:id="rId9"/>
    <sheet name="25e Juli 2021" sheetId="10" r:id="rId10"/>
    <sheet name="25e Augusti 2021" sheetId="11" r:id="rId11"/>
    <sheet name="25e September 2021" sheetId="12" r:id="rId12"/>
    <sheet name="25e Oktober 2021" sheetId="13" r:id="rId13"/>
    <sheet name="25e November 2021" sheetId="14" r:id="rId14"/>
    <sheet name="25e December 2021" sheetId="15" r:id="rId15"/>
    <sheet name="25e Januari 2022" sheetId="16" r:id="rId16"/>
    <sheet name="25e Februari 2022" sheetId="17" r:id="rId17"/>
    <sheet name="25e Mars 2022" sheetId="18" r:id="rId18"/>
    <sheet name="25e April 2022" sheetId="19" r:id="rId19"/>
    <sheet name="25e Maj 2022" sheetId="20" r:id="rId20"/>
    <sheet name="25e Juni 2022" sheetId="21" r:id="rId21"/>
    <sheet name="25e Juli 2022" sheetId="22" r:id="rId22"/>
    <sheet name="Grafik-data" sheetId="23" r:id="rId23"/>
    <sheet name="Grafik" sheetId="24" r:id="rId24"/>
    <sheet name="Testmånad" sheetId="25" r:id="rId25"/>
    <sheet name="Peter" sheetId="26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25" l="1"/>
  <c r="D30" i="25"/>
  <c r="B30" i="25"/>
  <c r="I20" i="25"/>
  <c r="D20" i="25"/>
  <c r="B20" i="25"/>
  <c r="I21" i="25" s="1"/>
  <c r="O16" i="25"/>
  <c r="O15" i="25"/>
  <c r="B14" i="25"/>
  <c r="D11" i="25"/>
  <c r="D6" i="25"/>
  <c r="F2" i="25"/>
  <c r="G22" i="23"/>
  <c r="F22" i="23"/>
  <c r="F21" i="23"/>
  <c r="G21" i="23" s="1"/>
  <c r="G20" i="23"/>
  <c r="F20" i="23"/>
  <c r="G19" i="23"/>
  <c r="F19" i="23"/>
  <c r="F18" i="23"/>
  <c r="G18" i="23" s="1"/>
  <c r="G17" i="23"/>
  <c r="F17" i="23"/>
  <c r="G16" i="23"/>
  <c r="F16" i="23"/>
  <c r="F15" i="23"/>
  <c r="G15" i="23" s="1"/>
  <c r="G14" i="23"/>
  <c r="F14" i="23"/>
  <c r="G13" i="23"/>
  <c r="F13" i="23"/>
  <c r="F12" i="23"/>
  <c r="G12" i="23" s="1"/>
  <c r="G11" i="23"/>
  <c r="F11" i="23"/>
  <c r="G10" i="23"/>
  <c r="F10" i="23"/>
  <c r="F9" i="23"/>
  <c r="G9" i="23" s="1"/>
  <c r="G8" i="23"/>
  <c r="F8" i="23"/>
  <c r="G7" i="23"/>
  <c r="F7" i="23"/>
  <c r="F6" i="23"/>
  <c r="G6" i="23" s="1"/>
  <c r="G5" i="23"/>
  <c r="F5" i="23"/>
  <c r="B4" i="23"/>
  <c r="F4" i="23" s="1"/>
  <c r="G4" i="23" s="1"/>
  <c r="F3" i="23"/>
  <c r="D36" i="22"/>
  <c r="B36" i="22"/>
  <c r="D35" i="22"/>
  <c r="B35" i="22"/>
  <c r="I26" i="22"/>
  <c r="J25" i="22"/>
  <c r="I25" i="22"/>
  <c r="J24" i="22"/>
  <c r="I24" i="22"/>
  <c r="B24" i="22"/>
  <c r="I23" i="22"/>
  <c r="I27" i="22" s="1"/>
  <c r="B23" i="22"/>
  <c r="B33" i="22" s="1"/>
  <c r="B38" i="22" s="1"/>
  <c r="D11" i="22"/>
  <c r="F7" i="22"/>
  <c r="H6" i="22"/>
  <c r="H9" i="22" s="1"/>
  <c r="B34" i="22" s="1"/>
  <c r="F6" i="22"/>
  <c r="F9" i="22" s="1"/>
  <c r="D6" i="22"/>
  <c r="D23" i="22" s="1"/>
  <c r="D33" i="22" s="1"/>
  <c r="D38" i="22" s="1"/>
  <c r="F2" i="22"/>
  <c r="D36" i="21"/>
  <c r="B36" i="21"/>
  <c r="B35" i="21"/>
  <c r="I26" i="21"/>
  <c r="J25" i="21"/>
  <c r="I25" i="21"/>
  <c r="D25" i="21"/>
  <c r="J24" i="21"/>
  <c r="I24" i="21"/>
  <c r="B24" i="21"/>
  <c r="B18" i="21"/>
  <c r="B23" i="21" s="1"/>
  <c r="B33" i="21" s="1"/>
  <c r="B38" i="21" s="1"/>
  <c r="D11" i="21"/>
  <c r="F9" i="21"/>
  <c r="D8" i="21"/>
  <c r="D23" i="21" s="1"/>
  <c r="D33" i="21" s="1"/>
  <c r="D38" i="21" s="1"/>
  <c r="F6" i="21"/>
  <c r="D6" i="21"/>
  <c r="D5" i="21"/>
  <c r="D2" i="21"/>
  <c r="D36" i="20"/>
  <c r="B36" i="20"/>
  <c r="B35" i="20"/>
  <c r="B33" i="20"/>
  <c r="B38" i="20" s="1"/>
  <c r="I26" i="20"/>
  <c r="B26" i="20"/>
  <c r="B25" i="20"/>
  <c r="I24" i="20"/>
  <c r="B18" i="20"/>
  <c r="B23" i="20" s="1"/>
  <c r="B12" i="20"/>
  <c r="D11" i="20"/>
  <c r="D8" i="20"/>
  <c r="F6" i="20"/>
  <c r="D6" i="20"/>
  <c r="D23" i="20" s="1"/>
  <c r="D33" i="20" s="1"/>
  <c r="D38" i="20" s="1"/>
  <c r="D2" i="20"/>
  <c r="B2" i="20"/>
  <c r="D36" i="19"/>
  <c r="B36" i="19"/>
  <c r="D35" i="19"/>
  <c r="B35" i="19"/>
  <c r="B33" i="19"/>
  <c r="B38" i="19" s="1"/>
  <c r="I26" i="19"/>
  <c r="J25" i="19"/>
  <c r="D25" i="19"/>
  <c r="I24" i="19"/>
  <c r="J24" i="19" s="1"/>
  <c r="B23" i="19"/>
  <c r="B18" i="19"/>
  <c r="D11" i="19"/>
  <c r="D8" i="19"/>
  <c r="D23" i="19" s="1"/>
  <c r="D33" i="19" s="1"/>
  <c r="D38" i="19" s="1"/>
  <c r="F6" i="19"/>
  <c r="F9" i="19" s="1"/>
  <c r="D6" i="19"/>
  <c r="F2" i="19"/>
  <c r="D2" i="19"/>
  <c r="I25" i="19" s="1"/>
  <c r="D36" i="18"/>
  <c r="B36" i="18"/>
  <c r="D35" i="18"/>
  <c r="I26" i="18"/>
  <c r="I25" i="18"/>
  <c r="B18" i="18"/>
  <c r="B23" i="18" s="1"/>
  <c r="B33" i="18" s="1"/>
  <c r="B38" i="18" s="1"/>
  <c r="D11" i="18"/>
  <c r="F9" i="18"/>
  <c r="D8" i="18"/>
  <c r="F6" i="18"/>
  <c r="F7" i="18" s="1"/>
  <c r="D6" i="18"/>
  <c r="D23" i="18" s="1"/>
  <c r="D33" i="18" s="1"/>
  <c r="D38" i="18" s="1"/>
  <c r="D2" i="18"/>
  <c r="B2" i="18"/>
  <c r="I24" i="18" s="1"/>
  <c r="J25" i="18" s="1"/>
  <c r="D38" i="17"/>
  <c r="D36" i="17"/>
  <c r="B36" i="17"/>
  <c r="D35" i="17"/>
  <c r="D33" i="17"/>
  <c r="I26" i="17"/>
  <c r="I25" i="17"/>
  <c r="B23" i="17"/>
  <c r="B33" i="17" s="1"/>
  <c r="B38" i="17" s="1"/>
  <c r="D11" i="17"/>
  <c r="D8" i="17"/>
  <c r="F6" i="17"/>
  <c r="F9" i="17" s="1"/>
  <c r="D6" i="17"/>
  <c r="D23" i="17" s="1"/>
  <c r="B2" i="17"/>
  <c r="I24" i="17" s="1"/>
  <c r="J25" i="17" s="1"/>
  <c r="D36" i="16"/>
  <c r="B36" i="16"/>
  <c r="B35" i="16"/>
  <c r="I26" i="16"/>
  <c r="B23" i="16"/>
  <c r="B33" i="16" s="1"/>
  <c r="B38" i="16" s="1"/>
  <c r="B18" i="16"/>
  <c r="D11" i="16"/>
  <c r="D8" i="16"/>
  <c r="D23" i="16" s="1"/>
  <c r="D33" i="16" s="1"/>
  <c r="D38" i="16" s="1"/>
  <c r="F6" i="16"/>
  <c r="D6" i="16"/>
  <c r="D2" i="16"/>
  <c r="B2" i="16"/>
  <c r="I24" i="16" s="1"/>
  <c r="J25" i="16" s="1"/>
  <c r="D36" i="15"/>
  <c r="B36" i="15"/>
  <c r="D35" i="15"/>
  <c r="B35" i="15"/>
  <c r="D23" i="15"/>
  <c r="D33" i="15" s="1"/>
  <c r="D38" i="15" s="1"/>
  <c r="B18" i="15"/>
  <c r="B23" i="15" s="1"/>
  <c r="B33" i="15" s="1"/>
  <c r="B38" i="15" s="1"/>
  <c r="D11" i="15"/>
  <c r="F9" i="15"/>
  <c r="D8" i="15"/>
  <c r="H6" i="15"/>
  <c r="H9" i="15" s="1"/>
  <c r="B34" i="15" s="1"/>
  <c r="F6" i="15"/>
  <c r="D6" i="15"/>
  <c r="F2" i="15"/>
  <c r="F3" i="15" s="1"/>
  <c r="D2" i="15"/>
  <c r="D36" i="14"/>
  <c r="B36" i="14"/>
  <c r="D35" i="14"/>
  <c r="B35" i="14"/>
  <c r="B26" i="14"/>
  <c r="B33" i="14" s="1"/>
  <c r="B38" i="14" s="1"/>
  <c r="D25" i="14"/>
  <c r="D23" i="14"/>
  <c r="D33" i="14" s="1"/>
  <c r="D38" i="14" s="1"/>
  <c r="B23" i="14"/>
  <c r="D15" i="14"/>
  <c r="D11" i="14"/>
  <c r="D8" i="14"/>
  <c r="F6" i="14"/>
  <c r="F7" i="15" s="1"/>
  <c r="D6" i="14"/>
  <c r="F2" i="14"/>
  <c r="D2" i="14"/>
  <c r="B2" i="14"/>
  <c r="B38" i="13"/>
  <c r="D36" i="13"/>
  <c r="B36" i="13"/>
  <c r="B33" i="13"/>
  <c r="B23" i="13"/>
  <c r="D11" i="13"/>
  <c r="F9" i="13"/>
  <c r="F6" i="13"/>
  <c r="F7" i="13" s="1"/>
  <c r="D6" i="13"/>
  <c r="F2" i="13"/>
  <c r="D2" i="13"/>
  <c r="D35" i="13" s="1"/>
  <c r="B2" i="13"/>
  <c r="B35" i="13" s="1"/>
  <c r="D36" i="12"/>
  <c r="B36" i="12"/>
  <c r="B35" i="12"/>
  <c r="B26" i="12"/>
  <c r="B23" i="12"/>
  <c r="B33" i="12" s="1"/>
  <c r="B38" i="12" s="1"/>
  <c r="D11" i="12"/>
  <c r="D8" i="12"/>
  <c r="F7" i="12"/>
  <c r="F6" i="12"/>
  <c r="F9" i="12" s="1"/>
  <c r="D6" i="12"/>
  <c r="D23" i="12" s="1"/>
  <c r="D33" i="12" s="1"/>
  <c r="D38" i="12" s="1"/>
  <c r="D2" i="12"/>
  <c r="D35" i="12" s="1"/>
  <c r="D36" i="11"/>
  <c r="B36" i="11"/>
  <c r="B35" i="11"/>
  <c r="B26" i="11"/>
  <c r="B23" i="11"/>
  <c r="B33" i="11" s="1"/>
  <c r="B38" i="11" s="1"/>
  <c r="D11" i="11"/>
  <c r="D8" i="11"/>
  <c r="F7" i="11"/>
  <c r="F6" i="11"/>
  <c r="F9" i="11" s="1"/>
  <c r="D6" i="11"/>
  <c r="D23" i="11" s="1"/>
  <c r="D33" i="11" s="1"/>
  <c r="D38" i="11" s="1"/>
  <c r="D2" i="11"/>
  <c r="D35" i="11" s="1"/>
  <c r="D35" i="10"/>
  <c r="B35" i="10"/>
  <c r="B34" i="10"/>
  <c r="D32" i="10"/>
  <c r="D37" i="10" s="1"/>
  <c r="D26" i="10"/>
  <c r="D23" i="10"/>
  <c r="B23" i="10"/>
  <c r="B32" i="10" s="1"/>
  <c r="B37" i="10" s="1"/>
  <c r="F9" i="10"/>
  <c r="F6" i="10"/>
  <c r="F7" i="10" s="1"/>
  <c r="D2" i="10"/>
  <c r="D35" i="9"/>
  <c r="B35" i="9"/>
  <c r="B34" i="9"/>
  <c r="B32" i="9"/>
  <c r="B37" i="9" s="1"/>
  <c r="B23" i="9"/>
  <c r="B17" i="9"/>
  <c r="B10" i="9"/>
  <c r="F9" i="9"/>
  <c r="D8" i="9"/>
  <c r="D23" i="9" s="1"/>
  <c r="D32" i="9" s="1"/>
  <c r="D37" i="9" s="1"/>
  <c r="F7" i="9"/>
  <c r="F6" i="9"/>
  <c r="F2" i="9"/>
  <c r="D2" i="9"/>
  <c r="D34" i="9" s="1"/>
  <c r="D35" i="8"/>
  <c r="B35" i="8"/>
  <c r="D34" i="8"/>
  <c r="B34" i="8"/>
  <c r="D23" i="8"/>
  <c r="D32" i="8" s="1"/>
  <c r="D37" i="8" s="1"/>
  <c r="B10" i="8"/>
  <c r="B23" i="8" s="1"/>
  <c r="B32" i="8" s="1"/>
  <c r="B37" i="8" s="1"/>
  <c r="F6" i="8"/>
  <c r="F7" i="8" s="1"/>
  <c r="F2" i="8"/>
  <c r="D2" i="8"/>
  <c r="D35" i="7"/>
  <c r="B35" i="7"/>
  <c r="D34" i="7"/>
  <c r="B34" i="7"/>
  <c r="B10" i="7"/>
  <c r="B23" i="7" s="1"/>
  <c r="B32" i="7" s="1"/>
  <c r="B37" i="7" s="1"/>
  <c r="D8" i="7"/>
  <c r="D23" i="7" s="1"/>
  <c r="D32" i="7" s="1"/>
  <c r="D37" i="7" s="1"/>
  <c r="F7" i="7"/>
  <c r="H6" i="7"/>
  <c r="H9" i="7" s="1"/>
  <c r="F6" i="7"/>
  <c r="D2" i="7"/>
  <c r="F2" i="7" s="1"/>
  <c r="F3" i="7" s="1"/>
  <c r="D35" i="6"/>
  <c r="B35" i="6"/>
  <c r="D34" i="6"/>
  <c r="B34" i="6"/>
  <c r="D23" i="6"/>
  <c r="D32" i="6" s="1"/>
  <c r="D37" i="6" s="1"/>
  <c r="B23" i="6"/>
  <c r="B32" i="6" s="1"/>
  <c r="B37" i="6" s="1"/>
  <c r="B10" i="6"/>
  <c r="F6" i="6"/>
  <c r="F7" i="6" s="1"/>
  <c r="B6" i="6"/>
  <c r="F2" i="6"/>
  <c r="D2" i="6"/>
  <c r="B37" i="5"/>
  <c r="D35" i="5"/>
  <c r="B35" i="5"/>
  <c r="B34" i="5"/>
  <c r="B32" i="5"/>
  <c r="D23" i="5"/>
  <c r="D32" i="5" s="1"/>
  <c r="D37" i="5" s="1"/>
  <c r="B23" i="5"/>
  <c r="B10" i="5"/>
  <c r="F6" i="5"/>
  <c r="F7" i="5" s="1"/>
  <c r="D5" i="5"/>
  <c r="F2" i="5"/>
  <c r="D2" i="5"/>
  <c r="D34" i="5" s="1"/>
  <c r="D35" i="4"/>
  <c r="B35" i="4"/>
  <c r="D34" i="4"/>
  <c r="B34" i="4"/>
  <c r="D23" i="4"/>
  <c r="D32" i="4" s="1"/>
  <c r="D37" i="4" s="1"/>
  <c r="B23" i="4"/>
  <c r="B32" i="4" s="1"/>
  <c r="B37" i="4" s="1"/>
  <c r="B11" i="4"/>
  <c r="F6" i="4"/>
  <c r="F7" i="4" s="1"/>
  <c r="F3" i="4"/>
  <c r="F2" i="4"/>
  <c r="K36" i="3"/>
  <c r="D35" i="3"/>
  <c r="B35" i="3"/>
  <c r="B34" i="3"/>
  <c r="B23" i="3"/>
  <c r="B32" i="3" s="1"/>
  <c r="B37" i="3" s="1"/>
  <c r="B12" i="3"/>
  <c r="D8" i="3"/>
  <c r="D23" i="3" s="1"/>
  <c r="D32" i="3" s="1"/>
  <c r="D37" i="3" s="1"/>
  <c r="F7" i="3"/>
  <c r="F6" i="3"/>
  <c r="D2" i="3"/>
  <c r="D35" i="2"/>
  <c r="B35" i="2"/>
  <c r="B34" i="2"/>
  <c r="B29" i="2"/>
  <c r="D23" i="2"/>
  <c r="D32" i="2" s="1"/>
  <c r="D37" i="2" s="1"/>
  <c r="B12" i="2"/>
  <c r="B23" i="2" s="1"/>
  <c r="B32" i="2" s="1"/>
  <c r="B37" i="2" s="1"/>
  <c r="F6" i="2"/>
  <c r="F7" i="2" s="1"/>
  <c r="D2" i="2"/>
  <c r="D34" i="2" s="1"/>
  <c r="T12" i="1"/>
  <c r="S12" i="1"/>
  <c r="N12" i="1"/>
  <c r="U11" i="1"/>
  <c r="T11" i="1"/>
  <c r="N11" i="1"/>
  <c r="M11" i="1"/>
  <c r="C11" i="1"/>
  <c r="V10" i="1"/>
  <c r="V12" i="1" s="1"/>
  <c r="U10" i="1"/>
  <c r="U12" i="1" s="1"/>
  <c r="T10" i="1"/>
  <c r="S10" i="1"/>
  <c r="R10" i="1"/>
  <c r="Q10" i="1"/>
  <c r="Q11" i="1" s="1"/>
  <c r="P10" i="1"/>
  <c r="P12" i="1" s="1"/>
  <c r="O10" i="1"/>
  <c r="O12" i="1" s="1"/>
  <c r="N10" i="1"/>
  <c r="M10" i="1"/>
  <c r="L10" i="1"/>
  <c r="M12" i="1" s="1"/>
  <c r="K10" i="1"/>
  <c r="K11" i="1" s="1"/>
  <c r="J10" i="1"/>
  <c r="J12" i="1" s="1"/>
  <c r="I10" i="1"/>
  <c r="I12" i="1" s="1"/>
  <c r="H10" i="1"/>
  <c r="F10" i="1"/>
  <c r="E10" i="1"/>
  <c r="D10" i="1"/>
  <c r="D12" i="1" s="1"/>
  <c r="C10" i="1"/>
  <c r="C12" i="1" s="1"/>
  <c r="B10" i="1"/>
  <c r="G4" i="1"/>
  <c r="G10" i="1" s="1"/>
  <c r="H12" i="1" s="1"/>
  <c r="D35" i="20" l="1"/>
  <c r="I25" i="20"/>
  <c r="F2" i="20"/>
  <c r="R11" i="1"/>
  <c r="D11" i="1"/>
  <c r="V11" i="1"/>
  <c r="L12" i="1"/>
  <c r="D34" i="3"/>
  <c r="F2" i="3"/>
  <c r="D34" i="15"/>
  <c r="K12" i="1"/>
  <c r="E11" i="1"/>
  <c r="F11" i="1"/>
  <c r="G11" i="1"/>
  <c r="O11" i="1"/>
  <c r="E12" i="1"/>
  <c r="I25" i="16"/>
  <c r="D35" i="16"/>
  <c r="F2" i="16"/>
  <c r="I23" i="19"/>
  <c r="I27" i="19" s="1"/>
  <c r="H6" i="19"/>
  <c r="H9" i="19" s="1"/>
  <c r="F7" i="21"/>
  <c r="F9" i="20"/>
  <c r="J24" i="20"/>
  <c r="J25" i="20"/>
  <c r="D34" i="22"/>
  <c r="B33" i="7"/>
  <c r="D33" i="7"/>
  <c r="L11" i="1"/>
  <c r="H11" i="1"/>
  <c r="P11" i="1"/>
  <c r="F12" i="1"/>
  <c r="F2" i="2"/>
  <c r="F3" i="6"/>
  <c r="H6" i="6"/>
  <c r="H9" i="6" s="1"/>
  <c r="F3" i="13"/>
  <c r="H6" i="13"/>
  <c r="H9" i="13" s="1"/>
  <c r="J24" i="17"/>
  <c r="F7" i="20"/>
  <c r="F6" i="25"/>
  <c r="D32" i="25"/>
  <c r="H6" i="5"/>
  <c r="H9" i="5" s="1"/>
  <c r="F3" i="5"/>
  <c r="I11" i="1"/>
  <c r="S11" i="1"/>
  <c r="G12" i="1"/>
  <c r="Q12" i="1"/>
  <c r="H6" i="4"/>
  <c r="H9" i="4" s="1"/>
  <c r="H6" i="9"/>
  <c r="H9" i="9" s="1"/>
  <c r="F3" i="9"/>
  <c r="F2" i="10"/>
  <c r="D34" i="10"/>
  <c r="D23" i="13"/>
  <c r="D33" i="13" s="1"/>
  <c r="D38" i="13" s="1"/>
  <c r="F3" i="14"/>
  <c r="H6" i="14"/>
  <c r="H9" i="14" s="1"/>
  <c r="F9" i="16"/>
  <c r="F7" i="17"/>
  <c r="J24" i="16"/>
  <c r="F2" i="21"/>
  <c r="D35" i="21"/>
  <c r="J11" i="1"/>
  <c r="R12" i="1"/>
  <c r="F3" i="8"/>
  <c r="H6" i="8"/>
  <c r="H9" i="8" s="1"/>
  <c r="F7" i="16"/>
  <c r="J24" i="18"/>
  <c r="I22" i="25"/>
  <c r="I23" i="25" s="1"/>
  <c r="I24" i="25" s="1"/>
  <c r="B35" i="17"/>
  <c r="H16" i="13"/>
  <c r="F2" i="11"/>
  <c r="F2" i="12"/>
  <c r="H24" i="12"/>
  <c r="F2" i="17"/>
  <c r="F7" i="14"/>
  <c r="F2" i="18"/>
  <c r="B35" i="18"/>
  <c r="F7" i="19"/>
  <c r="F9" i="14"/>
  <c r="H6" i="18" l="1"/>
  <c r="H9" i="18" s="1"/>
  <c r="I23" i="18"/>
  <c r="I27" i="18" s="1"/>
  <c r="F3" i="18"/>
  <c r="F3" i="25"/>
  <c r="F9" i="25"/>
  <c r="F7" i="25"/>
  <c r="H6" i="10"/>
  <c r="H9" i="10" s="1"/>
  <c r="F3" i="10"/>
  <c r="H6" i="2"/>
  <c r="H9" i="2" s="1"/>
  <c r="F3" i="2"/>
  <c r="B34" i="19"/>
  <c r="D34" i="19"/>
  <c r="J22" i="25"/>
  <c r="J21" i="25"/>
  <c r="F3" i="19"/>
  <c r="F3" i="3"/>
  <c r="H6" i="3"/>
  <c r="H9" i="3" s="1"/>
  <c r="H6" i="20"/>
  <c r="H9" i="20" s="1"/>
  <c r="I23" i="20"/>
  <c r="I27" i="20" s="1"/>
  <c r="F3" i="20"/>
  <c r="B33" i="8"/>
  <c r="D33" i="8"/>
  <c r="B34" i="14"/>
  <c r="D34" i="14"/>
  <c r="D33" i="9"/>
  <c r="B33" i="9"/>
  <c r="D34" i="13"/>
  <c r="B34" i="13"/>
  <c r="H6" i="25"/>
  <c r="H9" i="25" s="1"/>
  <c r="F3" i="12"/>
  <c r="H6" i="12"/>
  <c r="H9" i="12" s="1"/>
  <c r="D33" i="4"/>
  <c r="B33" i="4"/>
  <c r="D33" i="5"/>
  <c r="B33" i="5"/>
  <c r="H6" i="16"/>
  <c r="H9" i="16" s="1"/>
  <c r="I23" i="16"/>
  <c r="I27" i="16" s="1"/>
  <c r="F3" i="16"/>
  <c r="F3" i="17"/>
  <c r="I23" i="17"/>
  <c r="I27" i="17" s="1"/>
  <c r="H6" i="17"/>
  <c r="H9" i="17" s="1"/>
  <c r="F3" i="11"/>
  <c r="H6" i="11"/>
  <c r="H9" i="11" s="1"/>
  <c r="F3" i="22"/>
  <c r="I23" i="21"/>
  <c r="I27" i="21" s="1"/>
  <c r="F3" i="21"/>
  <c r="H6" i="21"/>
  <c r="H9" i="21" s="1"/>
  <c r="D33" i="6"/>
  <c r="B33" i="6"/>
  <c r="B34" i="17" l="1"/>
  <c r="D34" i="17"/>
  <c r="D33" i="3"/>
  <c r="B33" i="3"/>
  <c r="D31" i="25"/>
  <c r="D33" i="25" s="1"/>
  <c r="D35" i="25" s="1"/>
  <c r="B31" i="25"/>
  <c r="B33" i="25" s="1"/>
  <c r="B35" i="25" s="1"/>
  <c r="D34" i="21"/>
  <c r="B34" i="21"/>
  <c r="B33" i="2"/>
  <c r="D33" i="2"/>
  <c r="B34" i="16"/>
  <c r="D34" i="16"/>
  <c r="D34" i="20"/>
  <c r="B34" i="20"/>
  <c r="B34" i="11"/>
  <c r="D34" i="11"/>
  <c r="D34" i="12"/>
  <c r="B34" i="12"/>
  <c r="B33" i="10"/>
  <c r="D33" i="10"/>
  <c r="D34" i="18"/>
  <c r="B3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E1" authorId="0" shapeId="0" xr:uid="{00000000-0006-0000-0000-000001000000}">
      <text>
        <r>
          <rPr>
            <sz val="11"/>
            <color theme="1"/>
            <rFont val="Arial"/>
            <family val="2"/>
          </rPr>
          <t>Peter Svärd:
Saras första fulltidslön</t>
        </r>
      </text>
    </comment>
    <comment ref="G4" authorId="0" shapeId="0" xr:uid="{00000000-0006-0000-0000-000002000000}">
      <text>
        <r>
          <rPr>
            <sz val="11"/>
            <color theme="1"/>
            <rFont val="Arial"/>
            <family val="2"/>
          </rPr>
          <t>Peter Svärd:
1500kr Bio Harvest
7500kr Invest Aktier
1500kr överföring</t>
        </r>
      </text>
    </comment>
    <comment ref="E7" authorId="0" shapeId="0" xr:uid="{00000000-0006-0000-0000-000003000000}">
      <text>
        <r>
          <rPr>
            <sz val="11"/>
            <color theme="1"/>
            <rFont val="Arial"/>
            <family val="2"/>
          </rPr>
          <t xml:space="preserve">Peter Svärd:
Vigsel gåva 10000kr
</t>
        </r>
      </text>
    </comment>
    <comment ref="P11" authorId="0" shapeId="0" xr:uid="{00000000-0006-0000-0000-000004000000}">
      <text>
        <r>
          <rPr>
            <sz val="11"/>
            <color theme="1"/>
            <rFont val="Arial"/>
            <family val="2"/>
          </rPr>
          <t>Peter Svärd:
Elsa 8000kr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0000000-0006-0000-1000-000001000000}">
      <text>
        <r>
          <rPr>
            <sz val="11"/>
            <color theme="1"/>
            <rFont val="Arial"/>
            <family val="2"/>
          </rPr>
          <t xml:space="preserve">Peter Svärd:
Kusthotellet 4120
Brunch 600
Shopping 520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0000000-0006-0000-1100-000001000000}">
      <text>
        <r>
          <rPr>
            <sz val="11"/>
            <color theme="1"/>
            <rFont val="Arial"/>
            <family val="2"/>
          </rPr>
          <t xml:space="preserve">Peter Svärd:
Kusthotellet 4120
Brunch 600
Shopping 520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8" authorId="0" shapeId="0" xr:uid="{00000000-0006-0000-1400-000001000000}">
      <text>
        <r>
          <rPr>
            <sz val="11"/>
            <color theme="1"/>
            <rFont val="Arial"/>
            <family val="2"/>
          </rPr>
          <t xml:space="preserve">Peter Svärd:
BLIWA+Spotify+Hämtmat+Midsommar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8" authorId="0" shapeId="0" xr:uid="{00000000-0006-0000-1500-000001000000}">
      <text>
        <r>
          <rPr>
            <sz val="11"/>
            <color theme="1"/>
            <rFont val="Arial"/>
            <family val="2"/>
          </rPr>
          <t xml:space="preserve">Peter Svärd:
BLIWA+Spotify+Hämtmat+Midsommar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0000000-0006-0000-0500-000001000000}">
      <text>
        <r>
          <rPr>
            <sz val="11"/>
            <color theme="1"/>
            <rFont val="Arial"/>
            <family val="2"/>
          </rPr>
          <t xml:space="preserve">Peter Svärd:
Vigsel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1" authorId="0" shapeId="0" xr:uid="{00000000-0006-0000-0600-000001000000}">
      <text>
        <r>
          <rPr>
            <sz val="11"/>
            <color theme="1"/>
            <rFont val="Arial"/>
            <family val="2"/>
          </rPr>
          <t>Peter Svärd:
300kr har peter fått
När Sara för över pengar så skall det vara minus 300kr.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2" authorId="0" shapeId="0" xr:uid="{00000000-0006-0000-0800-000001000000}">
      <text>
        <r>
          <rPr>
            <sz val="11"/>
            <color theme="1"/>
            <rFont val="Arial"/>
            <family val="2"/>
          </rPr>
          <t>Peter Svärd:
Semesterersättningen utbetald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0000000-0006-0000-0B00-000001000000}">
      <text>
        <r>
          <rPr>
            <sz val="11"/>
            <color theme="1"/>
            <rFont val="Arial"/>
            <family val="2"/>
          </rPr>
          <t>Peter Svärd:
HM, Skolfoto, Handledarkurs, Liseberg och Hål i öronen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0000000-0006-0000-0C00-000001000000}">
      <text>
        <r>
          <rPr>
            <sz val="11"/>
            <color theme="1"/>
            <rFont val="Arial"/>
            <family val="2"/>
          </rPr>
          <t>Peter Svärd:
HM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0000000-0006-0000-0D00-000001000000}">
      <text>
        <r>
          <rPr>
            <sz val="11"/>
            <color theme="1"/>
            <rFont val="Arial"/>
            <family val="2"/>
          </rPr>
          <t>Peter Svärd:
HM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0000000-0006-0000-0E00-000001000000}">
      <text>
        <r>
          <rPr>
            <sz val="11"/>
            <color theme="1"/>
            <rFont val="Arial"/>
            <family val="2"/>
          </rPr>
          <t>Peter Svärd:
HM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0000000-0006-0000-0F00-000001000000}">
      <text>
        <r>
          <rPr>
            <sz val="11"/>
            <color theme="1"/>
            <rFont val="Arial"/>
            <family val="2"/>
          </rPr>
          <t xml:space="preserve">Peter Svärd:
Elsa 6000kr
Gerts Present
Klösmöbel
</t>
        </r>
      </text>
    </comment>
  </commentList>
</comments>
</file>

<file path=xl/sharedStrings.xml><?xml version="1.0" encoding="utf-8"?>
<sst xmlns="http://schemas.openxmlformats.org/spreadsheetml/2006/main" count="1343" uniqueCount="104">
  <si>
    <t>Sparande Saldo</t>
  </si>
  <si>
    <t>Helgnöje</t>
  </si>
  <si>
    <t>Peter</t>
  </si>
  <si>
    <t>Peter (ISK)</t>
  </si>
  <si>
    <t>Sara</t>
  </si>
  <si>
    <t>Bil</t>
  </si>
  <si>
    <t>Familj</t>
  </si>
  <si>
    <t>Alice (ISK)</t>
  </si>
  <si>
    <t>Ellen (ISK)</t>
  </si>
  <si>
    <t>TOTALT</t>
  </si>
  <si>
    <t>Kr Öka/Minska</t>
  </si>
  <si>
    <t>% Öka/Minska</t>
  </si>
  <si>
    <t>Mammas skuld</t>
  </si>
  <si>
    <t>Tot Inkomster</t>
  </si>
  <si>
    <t>Inkomst</t>
  </si>
  <si>
    <t>Nordic Wellness</t>
  </si>
  <si>
    <t>OBS, bonus föregående månad</t>
  </si>
  <si>
    <t>Telenor</t>
  </si>
  <si>
    <t>Amazon Prime</t>
  </si>
  <si>
    <t>El</t>
  </si>
  <si>
    <t>Tot gem. Räkningar</t>
  </si>
  <si>
    <t>Gemensamma räkningar minus Totala inkomster</t>
  </si>
  <si>
    <t>Disney+ (30:e)</t>
  </si>
  <si>
    <t>Förskola</t>
  </si>
  <si>
    <t>Santander</t>
  </si>
  <si>
    <t>ICA - Mat</t>
  </si>
  <si>
    <t>Ikano Bank</t>
  </si>
  <si>
    <t>HM</t>
  </si>
  <si>
    <t>Nöje per person</t>
  </si>
  <si>
    <t>Resturs Bank</t>
  </si>
  <si>
    <t>Kattmat</t>
  </si>
  <si>
    <t>LF Motor (1:e)</t>
  </si>
  <si>
    <t>Telia</t>
  </si>
  <si>
    <t>LF Hem  (1:e)</t>
  </si>
  <si>
    <t>Handels</t>
  </si>
  <si>
    <t>Unionen</t>
  </si>
  <si>
    <t>Spara Familjen</t>
  </si>
  <si>
    <t>Ingo</t>
  </si>
  <si>
    <t>Trängselskatt</t>
  </si>
  <si>
    <t>Hyra (30:e)</t>
  </si>
  <si>
    <t>Netflix (30:e)</t>
  </si>
  <si>
    <t>Spara Bilen</t>
  </si>
  <si>
    <t>Gem. Räk. TOT</t>
  </si>
  <si>
    <t>Spotify</t>
  </si>
  <si>
    <t>Synoptik</t>
  </si>
  <si>
    <t>Tandförsäk.</t>
  </si>
  <si>
    <t>Tandläkaren</t>
  </si>
  <si>
    <t>Snus</t>
  </si>
  <si>
    <t>Särö-Hus</t>
  </si>
  <si>
    <t>Spara Peter</t>
  </si>
  <si>
    <t>Google play</t>
  </si>
  <si>
    <t>Spending TOT</t>
  </si>
  <si>
    <t>Spending kvar</t>
  </si>
  <si>
    <t>Resultat</t>
  </si>
  <si>
    <t>Över/Underskott</t>
  </si>
  <si>
    <t>Kontroll summa</t>
  </si>
  <si>
    <t>Övrigt</t>
  </si>
  <si>
    <t>Bliwa liv.försäk.</t>
  </si>
  <si>
    <t>Spotify (3:e)</t>
  </si>
  <si>
    <t>Nordea Kreditkort</t>
  </si>
  <si>
    <t>World of Warcraft (4:e)</t>
  </si>
  <si>
    <t>Sololearn (24:e)</t>
  </si>
  <si>
    <t>CSN</t>
  </si>
  <si>
    <t>Västtrafik</t>
  </si>
  <si>
    <t>Tandförsäkring (28:e)</t>
  </si>
  <si>
    <t>Yousitian</t>
  </si>
  <si>
    <t>Santander/Anyfin</t>
  </si>
  <si>
    <t>Youcitian (30:e)</t>
  </si>
  <si>
    <t>Spara Helgnöje</t>
  </si>
  <si>
    <t xml:space="preserve"> </t>
  </si>
  <si>
    <t>HBO Nordic</t>
  </si>
  <si>
    <t>plus/minus kr snitt 6 mån</t>
  </si>
  <si>
    <t>Sparande</t>
  </si>
  <si>
    <t>ISK</t>
  </si>
  <si>
    <t>-</t>
  </si>
  <si>
    <t xml:space="preserve">Övrigt </t>
  </si>
  <si>
    <t>Bliwa</t>
  </si>
  <si>
    <t>P kvar</t>
  </si>
  <si>
    <t>S kvar</t>
  </si>
  <si>
    <t>Tot kvar</t>
  </si>
  <si>
    <t>Delat på två</t>
  </si>
  <si>
    <t>Försäkring Elsa</t>
  </si>
  <si>
    <t>Avbet. Bilen</t>
  </si>
  <si>
    <t>Spel Övrigt</t>
  </si>
  <si>
    <t>Förskola/Fritids</t>
  </si>
  <si>
    <t>Peter Sparande</t>
  </si>
  <si>
    <t>Peter Aktier</t>
  </si>
  <si>
    <t>Totalt</t>
  </si>
  <si>
    <t>Datum</t>
  </si>
  <si>
    <t>Insättning/uttag</t>
  </si>
  <si>
    <t>Summa</t>
  </si>
  <si>
    <t>Trend</t>
  </si>
  <si>
    <t>Snittinkomst 12m</t>
  </si>
  <si>
    <t>Vanlig månad</t>
  </si>
  <si>
    <t>Månad Peter nytt jobb</t>
  </si>
  <si>
    <t>Sara Mammaledig (7 bra dagar)</t>
  </si>
  <si>
    <t>Sara Mammaledig, Peter nytt jobb</t>
  </si>
  <si>
    <t>Amount</t>
  </si>
  <si>
    <t>count</t>
  </si>
  <si>
    <t>sum</t>
  </si>
  <si>
    <t>min</t>
  </si>
  <si>
    <t>max</t>
  </si>
  <si>
    <t>mean</t>
  </si>
  <si>
    <t>Bill_Peter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</si>
</sst>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[$-41D]General"/>
    <numFmt numFmtId="165" formatCode="&quot; &quot;#,##0&quot; kr &quot;;&quot;-&quot;#,##0&quot; kr &quot;;&quot; -&quot;#&quot; kr &quot;;@&quot; &quot;"/>
    <numFmt numFmtId="166" formatCode="#,##0&quot; &quot;[$kr-41D];[Red]&quot;-&quot;#,##0&quot; &quot;[$kr-41D]"/>
    <numFmt numFmtId="167" formatCode="#,##0.00&quot; &quot;[$kr-41D];[Red]&quot;-&quot;#,##0.00&quot; &quot;[$kr-41D]"/>
    <numFmt numFmtId="168" formatCode="&quot; &quot;#,##0.00&quot; kr &quot;;&quot;-&quot;#,##0.00&quot; kr &quot;;&quot; -&quot;#&quot; kr &quot;;@&quot; &quot;"/>
    <numFmt numFmtId="169" formatCode="[$-41D]0.00%"/>
    <numFmt numFmtId="170" formatCode="yy/mm/dd;@"/>
    <numFmt numFmtId="171" formatCode="0.0%"/>
  </numFmts>
  <fonts count="2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000000"/>
      <name val="Calibri"/>
      <family val="2"/>
    </font>
    <font>
      <sz val="9"/>
      <color rgb="FF9C0006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C5E0B4"/>
        <bgColor rgb="FFC5E0B4"/>
      </patternFill>
    </fill>
    <fill>
      <patternFill patternType="solid">
        <fgColor rgb="FF83CAFF"/>
        <bgColor rgb="FF83CAFF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44" fontId="1" fillId="0" borderId="0"/>
    <xf numFmtId="164" fontId="3" fillId="2" borderId="0"/>
    <xf numFmtId="168" fontId="2" fillId="0" borderId="0"/>
    <xf numFmtId="164" fontId="4" fillId="3" borderId="0"/>
    <xf numFmtId="164" fontId="5" fillId="4" borderId="0"/>
    <xf numFmtId="164" fontId="2" fillId="0" borderId="0"/>
    <xf numFmtId="164" fontId="6" fillId="0" borderId="0"/>
    <xf numFmtId="0" fontId="7" fillId="0" borderId="0">
      <alignment horizontal="center"/>
    </xf>
    <xf numFmtId="164" fontId="8" fillId="0" borderId="0">
      <alignment horizontal="center"/>
    </xf>
    <xf numFmtId="0" fontId="7" fillId="0" borderId="0">
      <alignment horizontal="center" textRotation="90"/>
    </xf>
    <xf numFmtId="164" fontId="8" fillId="0" borderId="0">
      <alignment horizontal="center" textRotation="90"/>
    </xf>
    <xf numFmtId="0" fontId="9" fillId="0" borderId="0"/>
    <xf numFmtId="164" fontId="10" fillId="0" borderId="0"/>
    <xf numFmtId="167" fontId="9" fillId="0" borderId="0"/>
    <xf numFmtId="167" fontId="10" fillId="0" borderId="0"/>
    <xf numFmtId="0" fontId="14" fillId="9" borderId="0"/>
    <xf numFmtId="0" fontId="15" fillId="10" borderId="0"/>
    <xf numFmtId="0" fontId="16" fillId="11" borderId="0"/>
    <xf numFmtId="9" fontId="26" fillId="0" borderId="0"/>
  </cellStyleXfs>
  <cellXfs count="91">
    <xf numFmtId="0" fontId="0" fillId="0" borderId="0" xfId="0"/>
    <xf numFmtId="0" fontId="0" fillId="0" borderId="3" xfId="0" applyBorder="1"/>
    <xf numFmtId="14" fontId="2" fillId="0" borderId="0" xfId="6" applyNumberFormat="1" applyAlignment="1">
      <alignment horizontal="left"/>
    </xf>
    <xf numFmtId="14" fontId="2" fillId="0" borderId="5" xfId="6" applyNumberFormat="1" applyBorder="1" applyAlignment="1">
      <alignment horizontal="left"/>
    </xf>
    <xf numFmtId="0" fontId="0" fillId="0" borderId="6" xfId="0" applyBorder="1"/>
    <xf numFmtId="0" fontId="20" fillId="0" borderId="0" xfId="0" applyFont="1"/>
    <xf numFmtId="0" fontId="22" fillId="0" borderId="0" xfId="0" applyFont="1"/>
    <xf numFmtId="0" fontId="23" fillId="0" borderId="0" xfId="0" applyFont="1"/>
    <xf numFmtId="9" fontId="2" fillId="0" borderId="0" xfId="19" applyFont="1"/>
    <xf numFmtId="4" fontId="0" fillId="0" borderId="0" xfId="0" applyNumberFormat="1"/>
    <xf numFmtId="14" fontId="11" fillId="5" borderId="2" xfId="7" applyNumberFormat="1" applyFont="1" applyFill="1" applyBorder="1"/>
    <xf numFmtId="164" fontId="6" fillId="0" borderId="0" xfId="7"/>
    <xf numFmtId="164" fontId="11" fillId="5" borderId="2" xfId="7" applyFont="1" applyFill="1" applyBorder="1"/>
    <xf numFmtId="164" fontId="11" fillId="0" borderId="0" xfId="7" applyFont="1"/>
    <xf numFmtId="165" fontId="6" fillId="0" borderId="0" xfId="3" applyNumberFormat="1" applyFont="1"/>
    <xf numFmtId="166" fontId="6" fillId="0" borderId="0" xfId="7" applyNumberFormat="1"/>
    <xf numFmtId="167" fontId="6" fillId="0" borderId="0" xfId="7" applyNumberFormat="1"/>
    <xf numFmtId="44" fontId="6" fillId="0" borderId="0" xfId="1" applyFont="1"/>
    <xf numFmtId="166" fontId="6" fillId="0" borderId="0" xfId="3" applyNumberFormat="1" applyFont="1"/>
    <xf numFmtId="164" fontId="6" fillId="0" borderId="1" xfId="7" applyBorder="1"/>
    <xf numFmtId="165" fontId="6" fillId="0" borderId="1" xfId="3" applyNumberFormat="1" applyFont="1" applyBorder="1"/>
    <xf numFmtId="166" fontId="6" fillId="0" borderId="1" xfId="3" applyNumberFormat="1" applyFont="1" applyBorder="1"/>
    <xf numFmtId="167" fontId="6" fillId="0" borderId="1" xfId="7" applyNumberFormat="1" applyBorder="1"/>
    <xf numFmtId="44" fontId="6" fillId="0" borderId="1" xfId="1" applyFont="1" applyBorder="1"/>
    <xf numFmtId="44" fontId="6" fillId="0" borderId="5" xfId="1" applyFont="1" applyBorder="1"/>
    <xf numFmtId="164" fontId="21" fillId="0" borderId="0" xfId="7" applyFont="1"/>
    <xf numFmtId="42" fontId="21" fillId="0" borderId="0" xfId="1" applyNumberFormat="1" applyFont="1"/>
    <xf numFmtId="164" fontId="17" fillId="0" borderId="0" xfId="7" applyFont="1"/>
    <xf numFmtId="42" fontId="18" fillId="10" borderId="0" xfId="17" applyNumberFormat="1" applyFont="1"/>
    <xf numFmtId="42" fontId="19" fillId="9" borderId="0" xfId="16" applyNumberFormat="1" applyFont="1"/>
    <xf numFmtId="42" fontId="15" fillId="10" borderId="0" xfId="17" applyNumberFormat="1"/>
    <xf numFmtId="42" fontId="14" fillId="9" borderId="0" xfId="16" applyNumberFormat="1"/>
    <xf numFmtId="169" fontId="18" fillId="10" borderId="0" xfId="17" applyNumberFormat="1" applyFont="1"/>
    <xf numFmtId="169" fontId="19" fillId="9" borderId="0" xfId="16" applyNumberFormat="1" applyFont="1"/>
    <xf numFmtId="169" fontId="15" fillId="10" borderId="0" xfId="17" applyNumberFormat="1"/>
    <xf numFmtId="169" fontId="14" fillId="9" borderId="0" xfId="16" applyNumberFormat="1"/>
    <xf numFmtId="164" fontId="2" fillId="0" borderId="0" xfId="6"/>
    <xf numFmtId="168" fontId="2" fillId="0" borderId="0" xfId="3"/>
    <xf numFmtId="164" fontId="2" fillId="0" borderId="3" xfId="6" applyBorder="1"/>
    <xf numFmtId="164" fontId="12" fillId="7" borderId="1" xfId="6" applyFont="1" applyFill="1" applyBorder="1" applyAlignment="1">
      <alignment vertical="center"/>
    </xf>
    <xf numFmtId="164" fontId="12" fillId="8" borderId="4" xfId="6" applyFont="1" applyFill="1" applyBorder="1" applyAlignment="1">
      <alignment vertical="center"/>
    </xf>
    <xf numFmtId="164" fontId="12" fillId="8" borderId="1" xfId="6" applyFont="1" applyFill="1" applyBorder="1" applyAlignment="1">
      <alignment vertical="center"/>
    </xf>
    <xf numFmtId="164" fontId="12" fillId="6" borderId="1" xfId="6" applyFont="1" applyFill="1" applyBorder="1"/>
    <xf numFmtId="168" fontId="12" fillId="6" borderId="1" xfId="3" applyFont="1" applyFill="1" applyBorder="1"/>
    <xf numFmtId="164" fontId="12" fillId="6" borderId="4" xfId="6" applyFont="1" applyFill="1" applyBorder="1"/>
    <xf numFmtId="168" fontId="12" fillId="0" borderId="0" xfId="6" applyNumberFormat="1" applyFont="1"/>
    <xf numFmtId="171" fontId="15" fillId="10" borderId="0" xfId="17" applyNumberFormat="1"/>
    <xf numFmtId="164" fontId="12" fillId="0" borderId="0" xfId="6" applyFont="1"/>
    <xf numFmtId="171" fontId="14" fillId="9" borderId="0" xfId="16" applyNumberFormat="1"/>
    <xf numFmtId="164" fontId="12" fillId="0" borderId="3" xfId="6" applyFont="1" applyBorder="1"/>
    <xf numFmtId="168" fontId="12" fillId="0" borderId="0" xfId="3" applyFont="1"/>
    <xf numFmtId="168" fontId="2" fillId="0" borderId="0" xfId="6" applyNumberFormat="1"/>
    <xf numFmtId="44" fontId="0" fillId="0" borderId="0" xfId="1" applyFont="1"/>
    <xf numFmtId="167" fontId="2" fillId="0" borderId="0" xfId="6" applyNumberFormat="1"/>
    <xf numFmtId="168" fontId="12" fillId="7" borderId="1" xfId="3" applyFont="1" applyFill="1" applyBorder="1"/>
    <xf numFmtId="168" fontId="2" fillId="8" borderId="1" xfId="3" applyFill="1" applyBorder="1"/>
    <xf numFmtId="164" fontId="13" fillId="0" borderId="0" xfId="6" applyFont="1"/>
    <xf numFmtId="168" fontId="13" fillId="0" borderId="0" xfId="3" applyFont="1"/>
    <xf numFmtId="164" fontId="13" fillId="0" borderId="3" xfId="6" applyFont="1" applyBorder="1"/>
    <xf numFmtId="169" fontId="2" fillId="0" borderId="0" xfId="6" applyNumberFormat="1"/>
    <xf numFmtId="164" fontId="2" fillId="0" borderId="6" xfId="6" applyBorder="1"/>
    <xf numFmtId="171" fontId="16" fillId="11" borderId="0" xfId="18" applyNumberFormat="1"/>
    <xf numFmtId="168" fontId="2" fillId="0" borderId="0" xfId="6" applyNumberFormat="1" applyAlignment="1">
      <alignment horizontal="left"/>
    </xf>
    <xf numFmtId="164" fontId="2" fillId="0" borderId="0" xfId="6" applyAlignment="1">
      <alignment horizontal="left"/>
    </xf>
    <xf numFmtId="44" fontId="2" fillId="0" borderId="0" xfId="1" applyFont="1" applyAlignment="1">
      <alignment horizontal="left"/>
    </xf>
    <xf numFmtId="164" fontId="24" fillId="0" borderId="0" xfId="6" applyFont="1"/>
    <xf numFmtId="168" fontId="24" fillId="0" borderId="0" xfId="3" applyFont="1"/>
    <xf numFmtId="168" fontId="12" fillId="0" borderId="0" xfId="6" applyNumberFormat="1" applyFont="1" applyAlignment="1">
      <alignment horizontal="left"/>
    </xf>
    <xf numFmtId="44" fontId="2" fillId="0" borderId="0" xfId="1" applyFont="1"/>
    <xf numFmtId="44" fontId="12" fillId="7" borderId="1" xfId="1" applyFont="1" applyFill="1" applyBorder="1"/>
    <xf numFmtId="44" fontId="12" fillId="6" borderId="1" xfId="1" applyFont="1" applyFill="1" applyBorder="1"/>
    <xf numFmtId="44" fontId="24" fillId="0" borderId="0" xfId="1" applyFont="1"/>
    <xf numFmtId="44" fontId="15" fillId="10" borderId="0" xfId="17" applyNumberFormat="1"/>
    <xf numFmtId="44" fontId="12" fillId="0" borderId="0" xfId="1" applyFont="1"/>
    <xf numFmtId="164" fontId="4" fillId="3" borderId="0" xfId="4"/>
    <xf numFmtId="44" fontId="4" fillId="3" borderId="0" xfId="1" applyFont="1" applyFill="1"/>
    <xf numFmtId="164" fontId="24" fillId="0" borderId="3" xfId="6" applyFont="1" applyBorder="1"/>
    <xf numFmtId="44" fontId="14" fillId="9" borderId="0" xfId="16" applyNumberFormat="1"/>
    <xf numFmtId="44" fontId="25" fillId="0" borderId="0" xfId="1" applyFont="1"/>
    <xf numFmtId="164" fontId="2" fillId="0" borderId="0" xfId="19" applyNumberFormat="1" applyFont="1"/>
    <xf numFmtId="167" fontId="12" fillId="0" borderId="0" xfId="6" applyNumberFormat="1" applyFont="1"/>
    <xf numFmtId="170" fontId="2" fillId="0" borderId="6" xfId="6" applyNumberFormat="1" applyBorder="1" applyAlignment="1">
      <alignment horizontal="left"/>
    </xf>
    <xf numFmtId="42" fontId="2" fillId="0" borderId="0" xfId="1" applyNumberFormat="1" applyFont="1"/>
    <xf numFmtId="167" fontId="2" fillId="0" borderId="5" xfId="6" applyNumberFormat="1" applyBorder="1"/>
    <xf numFmtId="170" fontId="2" fillId="0" borderId="7" xfId="6" applyNumberFormat="1" applyBorder="1" applyAlignment="1">
      <alignment horizontal="left"/>
    </xf>
    <xf numFmtId="164" fontId="2" fillId="0" borderId="5" xfId="6" applyBorder="1"/>
    <xf numFmtId="170" fontId="2" fillId="0" borderId="0" xfId="6" applyNumberFormat="1"/>
    <xf numFmtId="0" fontId="27" fillId="0" borderId="8" xfId="0" applyFont="1" applyBorder="1" applyAlignment="1">
      <alignment horizontal="center" vertical="top"/>
    </xf>
    <xf numFmtId="0" fontId="27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</cellXfs>
  <cellStyles count="20">
    <cellStyle name="Bra" xfId="16" builtinId="26"/>
    <cellStyle name="Dålig" xfId="17" builtinId="27"/>
    <cellStyle name="Excel Built-in Bad" xfId="2" xr:uid="{00000000-0005-0000-0000-000002000000}"/>
    <cellStyle name="Excel Built-in Currency" xfId="3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6" xr:uid="{00000000-0005-0000-0000-000006000000}"/>
    <cellStyle name="Excel Built-in Normal 1" xfId="7" xr:uid="{00000000-0005-0000-0000-000007000000}"/>
    <cellStyle name="Heading" xfId="8" xr:uid="{00000000-0005-0000-0000-000008000000}"/>
    <cellStyle name="Heading 1" xfId="9" xr:uid="{00000000-0005-0000-0000-000009000000}"/>
    <cellStyle name="Heading1" xfId="10" xr:uid="{00000000-0005-0000-0000-00000A000000}"/>
    <cellStyle name="Heading1 1" xfId="11" xr:uid="{00000000-0005-0000-0000-00000B000000}"/>
    <cellStyle name="Neutral" xfId="18" builtinId="28"/>
    <cellStyle name="Normal" xfId="0" builtinId="0"/>
    <cellStyle name="Procent" xfId="19" builtinId="5"/>
    <cellStyle name="Result" xfId="12" xr:uid="{00000000-0005-0000-0000-00000C000000}"/>
    <cellStyle name="Result 1" xfId="13" xr:uid="{00000000-0005-0000-0000-00000D000000}"/>
    <cellStyle name="Result2" xfId="14" xr:uid="{00000000-0005-0000-0000-00000E000000}"/>
    <cellStyle name="Result2 1" xfId="15" xr:uid="{00000000-0005-0000-0000-00000F000000}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Sparande!$A$10</c:f>
              <c:strCache>
                <c:ptCount val="1"/>
                <c:pt idx="0">
                  <c:v>TOTALT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Sparande!$B$1:$U$1</c:f>
              <c:numCache>
                <c:formatCode>m/d/yyyy</c:formatCode>
                <c:ptCount val="20"/>
                <c:pt idx="2">
                  <c:v>44221</c:v>
                </c:pt>
                <c:pt idx="3">
                  <c:v>44252</c:v>
                </c:pt>
                <c:pt idx="4">
                  <c:v>44280</c:v>
                </c:pt>
                <c:pt idx="5">
                  <c:v>44311</c:v>
                </c:pt>
                <c:pt idx="6">
                  <c:v>44341</c:v>
                </c:pt>
                <c:pt idx="7">
                  <c:v>44372</c:v>
                </c:pt>
                <c:pt idx="8">
                  <c:v>44402</c:v>
                </c:pt>
                <c:pt idx="9">
                  <c:v>44433</c:v>
                </c:pt>
                <c:pt idx="10">
                  <c:v>44464</c:v>
                </c:pt>
                <c:pt idx="11">
                  <c:v>44494</c:v>
                </c:pt>
                <c:pt idx="12">
                  <c:v>44525</c:v>
                </c:pt>
                <c:pt idx="13">
                  <c:v>44555</c:v>
                </c:pt>
                <c:pt idx="14">
                  <c:v>44586</c:v>
                </c:pt>
                <c:pt idx="15">
                  <c:v>44617</c:v>
                </c:pt>
                <c:pt idx="16">
                  <c:v>44645</c:v>
                </c:pt>
                <c:pt idx="17">
                  <c:v>44676</c:v>
                </c:pt>
                <c:pt idx="18">
                  <c:v>44706</c:v>
                </c:pt>
                <c:pt idx="19">
                  <c:v>44737</c:v>
                </c:pt>
              </c:numCache>
            </c:numRef>
          </c:cat>
          <c:val>
            <c:numRef>
              <c:f>Sparande!$B$10:$U$10</c:f>
              <c:numCache>
                <c:formatCode>_("kr"* #,##0_);_("kr"* \(#,##0\);_("kr"* "-"_);_(@_)</c:formatCode>
                <c:ptCount val="20"/>
                <c:pt idx="0">
                  <c:v>37371</c:v>
                </c:pt>
                <c:pt idx="1">
                  <c:v>33242</c:v>
                </c:pt>
                <c:pt idx="2">
                  <c:v>27201</c:v>
                </c:pt>
                <c:pt idx="3">
                  <c:v>53997</c:v>
                </c:pt>
                <c:pt idx="4">
                  <c:v>70881</c:v>
                </c:pt>
                <c:pt idx="5">
                  <c:v>98952</c:v>
                </c:pt>
                <c:pt idx="6">
                  <c:v>93602</c:v>
                </c:pt>
                <c:pt idx="7">
                  <c:v>104002</c:v>
                </c:pt>
                <c:pt idx="8">
                  <c:v>85202</c:v>
                </c:pt>
                <c:pt idx="9">
                  <c:v>83202</c:v>
                </c:pt>
                <c:pt idx="10">
                  <c:v>80502</c:v>
                </c:pt>
                <c:pt idx="11">
                  <c:v>67402</c:v>
                </c:pt>
                <c:pt idx="12">
                  <c:v>87617</c:v>
                </c:pt>
                <c:pt idx="13">
                  <c:v>84324</c:v>
                </c:pt>
                <c:pt idx="14">
                  <c:v>71025</c:v>
                </c:pt>
                <c:pt idx="15">
                  <c:v>65590</c:v>
                </c:pt>
                <c:pt idx="16">
                  <c:v>62870</c:v>
                </c:pt>
                <c:pt idx="17">
                  <c:v>62462</c:v>
                </c:pt>
                <c:pt idx="18">
                  <c:v>53932</c:v>
                </c:pt>
                <c:pt idx="19">
                  <c:v>79932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3-4808-9908-7D2C94E5DB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0214800"/>
        <c:axId val="710213520"/>
      </c:lineChart>
      <c:dateAx>
        <c:axId val="7102148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0213520"/>
        <c:crosses val="autoZero"/>
        <c:auto val="0"/>
        <c:lblOffset val="100"/>
        <c:baseTimeUnit val="months"/>
      </c:dateAx>
      <c:valAx>
        <c:axId val="7102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_(&quot;kr&quot;* #,##0_);_(&quot;kr&quot;* \(#,##0\);_(&quot;kr&quot;* &quot;-&quot;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021480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Peter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727580927384079"/>
          <c:y val="0.16245370370370371"/>
          <c:w val="0.8221686351706036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Sparande!$A$3:$B$3</c:f>
              <c:strCache>
                <c:ptCount val="2"/>
                <c:pt idx="0">
                  <c:v>Peter</c:v>
                </c:pt>
                <c:pt idx="1">
                  <c:v> 8 079 kr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Sparande!$C$3:$V$3</c:f>
              <c:numCache>
                <c:formatCode>#\ ##0" "[$kr-41D];[Red]"-"#\ ##0" "[$kr-41D]</c:formatCode>
                <c:ptCount val="20"/>
                <c:pt idx="0">
                  <c:v>7250</c:v>
                </c:pt>
                <c:pt idx="1">
                  <c:v>9725</c:v>
                </c:pt>
                <c:pt idx="2" formatCode="#\ ##0.00&quot; &quot;[$kr-41D];[Red]&quot;-&quot;#\ ##0.00&quot; &quot;[$kr-41D]">
                  <c:v>8660</c:v>
                </c:pt>
                <c:pt idx="3" formatCode="_(&quot;kr&quot;* #,##0.00_);_(&quot;kr&quot;* \(#,##0.00\);_(&quot;kr&quot;* &quot;-&quot;??_);_(@_)">
                  <c:v>9727</c:v>
                </c:pt>
                <c:pt idx="4" formatCode="_(&quot;kr&quot;* #,##0.00_);_(&quot;kr&quot;* \(#,##0.00\);_(&quot;kr&quot;* &quot;-&quot;??_);_(@_)">
                  <c:v>12000</c:v>
                </c:pt>
                <c:pt idx="5" formatCode="_(&quot;kr&quot;* #,##0.00_);_(&quot;kr&quot;* \(#,##0.00\);_(&quot;kr&quot;* &quot;-&quot;??_);_(@_)">
                  <c:v>9900</c:v>
                </c:pt>
                <c:pt idx="6" formatCode="_(&quot;kr&quot;* #,##0.00_);_(&quot;kr&quot;* \(#,##0.00\);_(&quot;kr&quot;* &quot;-&quot;??_);_(@_)">
                  <c:v>12000</c:v>
                </c:pt>
                <c:pt idx="7" formatCode="_(&quot;kr&quot;* #,##0.00_);_(&quot;kr&quot;* \(#,##0.00\);_(&quot;kr&quot;* &quot;-&quot;??_);_(@_)">
                  <c:v>9000</c:v>
                </c:pt>
                <c:pt idx="8" formatCode="_(&quot;kr&quot;* #,##0.00_);_(&quot;kr&quot;* \(#,##0.00\);_(&quot;kr&quot;* &quot;-&quot;??_);_(@_)">
                  <c:v>7000</c:v>
                </c:pt>
                <c:pt idx="9" formatCode="_(&quot;kr&quot;* #,##0.00_);_(&quot;kr&quot;* \(#,##0.00\);_(&quot;kr&quot;* &quot;-&quot;??_);_(@_)">
                  <c:v>3000</c:v>
                </c:pt>
                <c:pt idx="10" formatCode="_(&quot;kr&quot;* #,##0.00_);_(&quot;kr&quot;* \(#,##0.00\);_(&quot;kr&quot;* &quot;-&quot;??_);_(@_)">
                  <c:v>1700</c:v>
                </c:pt>
                <c:pt idx="11" formatCode="_(&quot;kr&quot;* #,##0.00_);_(&quot;kr&quot;* \(#,##0.00\);_(&quot;kr&quot;* &quot;-&quot;??_);_(@_)">
                  <c:v>3700</c:v>
                </c:pt>
                <c:pt idx="12" formatCode="_(&quot;kr&quot;* #,##0.00_);_(&quot;kr&quot;* \(#,##0.00\);_(&quot;kr&quot;* &quot;-&quot;??_);_(@_)">
                  <c:v>3600</c:v>
                </c:pt>
                <c:pt idx="13" formatCode="_(&quot;kr&quot;* #,##0.00_);_(&quot;kr&quot;* \(#,##0.00\);_(&quot;kr&quot;* &quot;-&quot;??_);_(@_)">
                  <c:v>900</c:v>
                </c:pt>
                <c:pt idx="14" formatCode="_(&quot;kr&quot;* #,##0.00_);_(&quot;kr&quot;* \(#,##0.00\);_(&quot;kr&quot;* &quot;-&quot;??_);_(@_)">
                  <c:v>3000</c:v>
                </c:pt>
                <c:pt idx="15" formatCode="_(&quot;kr&quot;* #,##0.00_);_(&quot;kr&quot;* \(#,##0.00\);_(&quot;kr&quot;* &quot;-&quot;??_);_(@_)">
                  <c:v>27500</c:v>
                </c:pt>
                <c:pt idx="16" formatCode="_(&quot;kr&quot;* #,##0.00_);_(&quot;kr&quot;* \(#,##0.00\);_(&quot;kr&quot;* &quot;-&quot;??_);_(@_)">
                  <c:v>18020</c:v>
                </c:pt>
                <c:pt idx="17" formatCode="_(&quot;kr&quot;* #,##0.00_);_(&quot;kr&quot;* \(#,##0.00\);_(&quot;kr&quot;* &quot;-&quot;??_);_(@_)">
                  <c:v>15000</c:v>
                </c:pt>
                <c:pt idx="18" formatCode="_(&quot;kr&quot;* #,##0.00_);_(&quot;kr&quot;* \(#,##0.00\);_(&quot;kr&quot;* &quot;-&quot;??_);_(@_)">
                  <c:v>18000</c:v>
                </c:pt>
                <c:pt idx="19" formatCode="_(&quot;kr&quot;* #,##0.00_);_(&quot;kr&quot;* \(#,##0.00\);_(&quot;kr&quot;* &quot;-&quot;??_);_(@_)">
                  <c:v>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9-429C-B73C-4035D003B4B4}"/>
            </c:ext>
          </c:extLst>
        </c:ser>
        <c:ser>
          <c:idx val="2"/>
          <c:order val="1"/>
          <c:tx>
            <c:strRef>
              <c:f>Sparande!$A$4:$B$4</c:f>
              <c:strCache>
                <c:ptCount val="2"/>
                <c:pt idx="0">
                  <c:v>Peter (ISK)</c:v>
                </c:pt>
                <c:pt idx="1">
                  <c:v> - kr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Sparande!$C$4:$V$4</c:f>
              <c:numCache>
                <c:formatCode>#\ ##0" "[$kr-41D];[Red]"-"#\ ##0" "[$kr-41D]</c:formatCode>
                <c:ptCount val="20"/>
                <c:pt idx="0">
                  <c:v>0</c:v>
                </c:pt>
                <c:pt idx="1">
                  <c:v>0</c:v>
                </c:pt>
                <c:pt idx="2" formatCode="#\ ##0.00&quot; &quot;[$kr-41D];[Red]&quot;-&quot;#\ ##0.00&quot; &quot;[$kr-41D]">
                  <c:v>6580</c:v>
                </c:pt>
                <c:pt idx="3" formatCode="_(&quot;kr&quot;* #,##0.00_);_(&quot;kr&quot;* \(#,##0.00\);_(&quot;kr&quot;* &quot;-&quot;??_);_(@_)">
                  <c:v>9757</c:v>
                </c:pt>
                <c:pt idx="4" formatCode="_(&quot;kr&quot;* #,##0.00_);_(&quot;kr&quot;* \(#,##0.00\);_(&quot;kr&quot;* &quot;-&quot;??_);_(@_)">
                  <c:v>20050</c:v>
                </c:pt>
                <c:pt idx="5" formatCode="_(&quot;kr&quot;* #,##0.00_);_(&quot;kr&quot;* \(#,##0.00\);_(&quot;kr&quot;* &quot;-&quot;??_);_(@_)">
                  <c:v>22200</c:v>
                </c:pt>
                <c:pt idx="6" formatCode="_(&quot;kr&quot;* #,##0.00_);_(&quot;kr&quot;* \(#,##0.00\);_(&quot;kr&quot;* &quot;-&quot;??_);_(@_)">
                  <c:v>24800</c:v>
                </c:pt>
                <c:pt idx="7" formatCode="_(&quot;kr&quot;* #,##0.00_);_(&quot;kr&quot;* \(#,##0.00\);_(&quot;kr&quot;* &quot;-&quot;??_);_(@_)">
                  <c:v>33500</c:v>
                </c:pt>
                <c:pt idx="8" formatCode="_(&quot;kr&quot;* #,##0.00_);_(&quot;kr&quot;* \(#,##0.00\);_(&quot;kr&quot;* &quot;-&quot;??_);_(@_)">
                  <c:v>33500</c:v>
                </c:pt>
                <c:pt idx="9" formatCode="_(&quot;kr&quot;* #,##0.00_);_(&quot;kr&quot;* \(#,##0.00\);_(&quot;kr&quot;* &quot;-&quot;??_);_(@_)">
                  <c:v>30800</c:v>
                </c:pt>
                <c:pt idx="10" formatCode="_(&quot;kr&quot;* #,##0.00_);_(&quot;kr&quot;* \(#,##0.00\);_(&quot;kr&quot;* &quot;-&quot;??_);_(@_)">
                  <c:v>34500</c:v>
                </c:pt>
                <c:pt idx="11" formatCode="_(&quot;kr&quot;* #,##0.00_);_(&quot;kr&quot;* \(#,##0.00\);_(&quot;kr&quot;* &quot;-&quot;??_);_(@_)">
                  <c:v>37500</c:v>
                </c:pt>
                <c:pt idx="12" formatCode="_(&quot;kr&quot;* #,##0.00_);_(&quot;kr&quot;* \(#,##0.00\);_(&quot;kr&quot;* &quot;-&quot;??_);_(@_)">
                  <c:v>38000</c:v>
                </c:pt>
                <c:pt idx="13" formatCode="_(&quot;kr&quot;* #,##0.00_);_(&quot;kr&quot;* \(#,##0.00\);_(&quot;kr&quot;* &quot;-&quot;??_);_(@_)">
                  <c:v>32100</c:v>
                </c:pt>
                <c:pt idx="14" formatCode="_(&quot;kr&quot;* #,##0.00_);_(&quot;kr&quot;* \(#,##0.00\);_(&quot;kr&quot;* &quot;-&quot;??_);_(@_)">
                  <c:v>26565</c:v>
                </c:pt>
                <c:pt idx="15" formatCode="_(&quot;kr&quot;* #,##0.00_);_(&quot;kr&quot;* \(#,##0.00\);_(&quot;kr&quot;* &quot;-&quot;??_);_(@_)">
                  <c:v>907</c:v>
                </c:pt>
                <c:pt idx="16" formatCode="_(&quot;kr&quot;* #,##0.00_);_(&quot;kr&quot;* \(#,##0.00\);_(&quot;kr&quot;* &quot;-&quot;??_);_(@_)">
                  <c:v>907</c:v>
                </c:pt>
                <c:pt idx="17" formatCode="_(&quot;kr&quot;* #,##0.00_);_(&quot;kr&quot;* \(#,##0.00\);_(&quot;kr&quot;* &quot;-&quot;??_);_(@_)">
                  <c:v>907</c:v>
                </c:pt>
                <c:pt idx="18" formatCode="_(&quot;kr&quot;* #,##0.00_);_(&quot;kr&quot;* \(#,##0.00\);_(&quot;kr&quot;* &quot;-&quot;??_);_(@_)">
                  <c:v>907</c:v>
                </c:pt>
                <c:pt idx="19" formatCode="_(&quot;kr&quot;* #,##0.00_);_(&quot;kr&quot;* \(#,##0.00\);_(&quot;kr&quot;* &quot;-&quot;??_);_(@_)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9-429C-B73C-4035D003B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31960"/>
        <c:axId val="744333880"/>
      </c:lineChart>
      <c:catAx>
        <c:axId val="74433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4333880"/>
        <c:crosses val="autoZero"/>
        <c:auto val="1"/>
        <c:lblAlgn val="ctr"/>
        <c:lblOffset val="100"/>
        <c:noMultiLvlLbl val="0"/>
      </c:catAx>
      <c:valAx>
        <c:axId val="7443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\ ##0&quot; &quot;[$kr-41D];[Red]&quot;-&quot;#\ ##0&quot; &quot;[$kr-41D]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43319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498031496063"/>
          <c:y val="0.1393055555555556"/>
          <c:w val="0.8221686351706036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Sparande!$A$5</c:f>
              <c:strCache>
                <c:ptCount val="1"/>
                <c:pt idx="0">
                  <c:v>Sara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Sparande!$B$5:$V$5</c:f>
              <c:numCache>
                <c:formatCode>#\ ##0" "[$kr-41D];[Red]"-"#\ ##0" "[$kr-41D]</c:formatCode>
                <c:ptCount val="21"/>
                <c:pt idx="0" formatCode="&quot; &quot;#\ ##0&quot; kr &quot;;&quot;-&quot;#\ ##0&quot; kr &quot;;&quot; -&quot;#&quot; kr &quot;;@&quot; &quot;">
                  <c:v>20000</c:v>
                </c:pt>
                <c:pt idx="1">
                  <c:v>19300</c:v>
                </c:pt>
                <c:pt idx="2">
                  <c:v>9500</c:v>
                </c:pt>
                <c:pt idx="3" formatCode="#\ ##0.00&quot; &quot;[$kr-41D];[Red]&quot;-&quot;#\ ##0.00&quot; &quot;[$kr-41D]">
                  <c:v>18000</c:v>
                </c:pt>
                <c:pt idx="4" formatCode="_(&quot;kr&quot;* #,##0.00_);_(&quot;kr&quot;* \(#,##0.00\);_(&quot;kr&quot;* &quot;-&quot;??_);_(@_)">
                  <c:v>28000</c:v>
                </c:pt>
                <c:pt idx="5" formatCode="_(&quot;kr&quot;* #,##0.00_);_(&quot;kr&quot;* \(#,##0.00\);_(&quot;kr&quot;* &quot;-&quot;??_);_(@_)">
                  <c:v>40000</c:v>
                </c:pt>
                <c:pt idx="6" formatCode="_(&quot;kr&quot;* #,##0.00_);_(&quot;kr&quot;* \(#,##0.00\);_(&quot;kr&quot;* &quot;-&quot;??_);_(@_)">
                  <c:v>39000</c:v>
                </c:pt>
                <c:pt idx="7" formatCode="_(&quot;kr&quot;* #,##0.00_);_(&quot;kr&quot;* \(#,##0.00\);_(&quot;kr&quot;* &quot;-&quot;??_);_(@_)">
                  <c:v>42000</c:v>
                </c:pt>
                <c:pt idx="8" formatCode="_(&quot;kr&quot;* #,##0.00_);_(&quot;kr&quot;* \(#,##0.00\);_(&quot;kr&quot;* &quot;-&quot;??_);_(@_)">
                  <c:v>26000</c:v>
                </c:pt>
                <c:pt idx="9" formatCode="_(&quot;kr&quot;* #,##0.00_);_(&quot;kr&quot;* \(#,##0.00\);_(&quot;kr&quot;* &quot;-&quot;??_);_(@_)">
                  <c:v>28500</c:v>
                </c:pt>
                <c:pt idx="10" formatCode="_(&quot;kr&quot;* #,##0.00_);_(&quot;kr&quot;* \(#,##0.00\);_(&quot;kr&quot;* &quot;-&quot;??_);_(@_)">
                  <c:v>29000</c:v>
                </c:pt>
                <c:pt idx="11" formatCode="_(&quot;kr&quot;* #,##0.00_);_(&quot;kr&quot;* \(#,##0.00\);_(&quot;kr&quot;* &quot;-&quot;??_);_(@_)">
                  <c:v>24000</c:v>
                </c:pt>
                <c:pt idx="12" formatCode="_(&quot;kr&quot;* #,##0.00_);_(&quot;kr&quot;* \(#,##0.00\);_(&quot;kr&quot;* &quot;-&quot;??_);_(@_)">
                  <c:v>32500</c:v>
                </c:pt>
                <c:pt idx="13" formatCode="_(&quot;kr&quot;* #,##0.00_);_(&quot;kr&quot;* \(#,##0.00\);_(&quot;kr&quot;* &quot;-&quot;??_);_(@_)">
                  <c:v>32500</c:v>
                </c:pt>
                <c:pt idx="14" formatCode="_(&quot;kr&quot;* #,##0.00_);_(&quot;kr&quot;* \(#,##0.00\);_(&quot;kr&quot;* &quot;-&quot;??_);_(@_)">
                  <c:v>30000</c:v>
                </c:pt>
                <c:pt idx="15" formatCode="_(&quot;kr&quot;* #,##0.00_);_(&quot;kr&quot;* \(#,##0.00\);_(&quot;kr&quot;* &quot;-&quot;??_);_(@_)">
                  <c:v>28000</c:v>
                </c:pt>
                <c:pt idx="16" formatCode="_(&quot;kr&quot;* #,##0.00_);_(&quot;kr&quot;* \(#,##0.00\);_(&quot;kr&quot;* &quot;-&quot;??_);_(@_)">
                  <c:v>29000</c:v>
                </c:pt>
                <c:pt idx="17" formatCode="_(&quot;kr&quot;* #,##0.00_);_(&quot;kr&quot;* \(#,##0.00\);_(&quot;kr&quot;* &quot;-&quot;??_);_(@_)">
                  <c:v>23500</c:v>
                </c:pt>
                <c:pt idx="18" formatCode="_(&quot;kr&quot;* #,##0.00_);_(&quot;kr&quot;* \(#,##0.00\);_(&quot;kr&quot;* &quot;-&quot;??_);_(@_)">
                  <c:v>21000</c:v>
                </c:pt>
                <c:pt idx="19" formatCode="_(&quot;kr&quot;* #,##0.00_);_(&quot;kr&quot;* \(#,##0.00\);_(&quot;kr&quot;* &quot;-&quot;??_);_(@_)">
                  <c:v>29000</c:v>
                </c:pt>
                <c:pt idx="20" formatCode="_(&quot;kr&quot;* #,##0.00_);_(&quot;kr&quot;* \(#,##0.00\);_(&quot;kr&quot;* &quot;-&quot;??_);_(@_)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B-44A1-B4B2-B0865C74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71960"/>
        <c:axId val="762967480"/>
      </c:lineChart>
      <c:catAx>
        <c:axId val="76297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2967480"/>
        <c:crosses val="autoZero"/>
        <c:auto val="1"/>
        <c:lblAlgn val="ctr"/>
        <c:lblOffset val="100"/>
        <c:noMultiLvlLbl val="0"/>
      </c:catAx>
      <c:valAx>
        <c:axId val="7629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 &quot;#\ ##0&quot; kr &quot;;&quot;-&quot;#\ ##0&quot; kr &quot;;&quot; -&quot;#&quot; kr &quot;;@&quot; 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297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/>
              <a:t>Peters Sparande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0573712879989"/>
          <c:y val="8.3919158105157474E-2"/>
          <c:w val="0.82451147279329939"/>
          <c:h val="0.79495427640777661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ln>
                <a:prstDash val="solid"/>
              </a:ln>
            </c:spPr>
          </c:marker>
          <c:dLbls>
            <c:numFmt formatCode="#,##0&quot; &quot;[$kr-41D];&quot;-&quot;#,##0&quot; &quot;[$kr-41D]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'Grafik-data'!$A$3:$A$22</c:f>
              <c:numCache>
                <c:formatCode>m/d/yyyy</c:formatCode>
                <c:ptCount val="20"/>
                <c:pt idx="0">
                  <c:v>44160</c:v>
                </c:pt>
                <c:pt idx="1">
                  <c:v>44190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'Grafik-data'!$B$3:$B$22</c:f>
              <c:numCache>
                <c:formatCode>#\ ##0.00" "[$kr-41D];[Red]"-"#\ ##0.00" "[$kr-41D]</c:formatCode>
                <c:ptCount val="20"/>
                <c:pt idx="0">
                  <c:v>5579</c:v>
                </c:pt>
                <c:pt idx="1">
                  <c:v>7150</c:v>
                </c:pt>
                <c:pt idx="2">
                  <c:v>6500</c:v>
                </c:pt>
                <c:pt idx="3">
                  <c:v>9725</c:v>
                </c:pt>
                <c:pt idx="4">
                  <c:v>8000</c:v>
                </c:pt>
                <c:pt idx="5">
                  <c:v>7000</c:v>
                </c:pt>
                <c:pt idx="6">
                  <c:v>8660</c:v>
                </c:pt>
                <c:pt idx="7">
                  <c:v>9272</c:v>
                </c:pt>
                <c:pt idx="8">
                  <c:v>12000</c:v>
                </c:pt>
                <c:pt idx="9">
                  <c:v>9900</c:v>
                </c:pt>
                <c:pt idx="10">
                  <c:v>7000</c:v>
                </c:pt>
                <c:pt idx="11">
                  <c:v>9000</c:v>
                </c:pt>
                <c:pt idx="12">
                  <c:v>7000</c:v>
                </c:pt>
                <c:pt idx="13">
                  <c:v>7000</c:v>
                </c:pt>
                <c:pt idx="14">
                  <c:v>1700</c:v>
                </c:pt>
                <c:pt idx="15">
                  <c:v>3700</c:v>
                </c:pt>
                <c:pt idx="16">
                  <c:v>3600</c:v>
                </c:pt>
                <c:pt idx="17">
                  <c:v>900</c:v>
                </c:pt>
                <c:pt idx="18">
                  <c:v>3000</c:v>
                </c:pt>
                <c:pt idx="19">
                  <c:v>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E3E-8DA0-B81A68AB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65816"/>
        <c:axId val="572364856"/>
      </c:lineChart>
      <c:dateAx>
        <c:axId val="572365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2364856"/>
        <c:crossesAt val="0"/>
        <c:auto val="0"/>
        <c:lblOffset val="100"/>
        <c:baseTimeUnit val="days"/>
      </c:dateAx>
      <c:valAx>
        <c:axId val="572364856"/>
        <c:scaling>
          <c:orientation val="minMax"/>
          <c:max val="30000"/>
        </c:scaling>
        <c:delete val="0"/>
        <c:axPos val="l"/>
        <c:majorGridlines>
          <c:spPr>
            <a:ln>
              <a:solidFill>
                <a:srgbClr val="B3B3B3"/>
              </a:solidFill>
              <a:prstDash val="solid"/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2365816"/>
        <c:crossesAt val="0"/>
        <c:crossBetween val="between"/>
        <c:majorUnit val="2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/>
              <a:t>Peters Aktier/Fonder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ln>
                <a:prstDash val="solid"/>
              </a:ln>
            </c:spPr>
          </c:marker>
          <c:dLbls>
            <c:numFmt formatCode="#.##0&quot; &quot;[$kr-41D];&quot;-&quot;#.##0&quot; &quot;[$kr-41D]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'Grafik-data'!$C$3:$C$22</c:f>
              <c:numCache>
                <c:formatCode>yy/mm/dd;@</c:formatCode>
                <c:ptCount val="20"/>
                <c:pt idx="0">
                  <c:v>44165</c:v>
                </c:pt>
                <c:pt idx="1">
                  <c:v>44193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'Grafik-data'!$D$3:$D$22</c:f>
              <c:numCache>
                <c:formatCode>#\ ##0.00" "[$kr-41D];[Red]"-"#\ ##0.00" "[$kr-41D]</c:formatCode>
                <c:ptCount val="20"/>
                <c:pt idx="0">
                  <c:v>1000</c:v>
                </c:pt>
                <c:pt idx="1">
                  <c:v>1149</c:v>
                </c:pt>
                <c:pt idx="2">
                  <c:v>1052</c:v>
                </c:pt>
                <c:pt idx="3">
                  <c:v>1030</c:v>
                </c:pt>
                <c:pt idx="4">
                  <c:v>3783</c:v>
                </c:pt>
                <c:pt idx="5">
                  <c:v>4941</c:v>
                </c:pt>
                <c:pt idx="6">
                  <c:v>6653</c:v>
                </c:pt>
                <c:pt idx="7">
                  <c:v>9757</c:v>
                </c:pt>
                <c:pt idx="8">
                  <c:v>20050</c:v>
                </c:pt>
                <c:pt idx="9">
                  <c:v>22200</c:v>
                </c:pt>
                <c:pt idx="10">
                  <c:v>24800</c:v>
                </c:pt>
                <c:pt idx="11">
                  <c:v>33500</c:v>
                </c:pt>
                <c:pt idx="12">
                  <c:v>33500</c:v>
                </c:pt>
                <c:pt idx="13">
                  <c:v>30800</c:v>
                </c:pt>
                <c:pt idx="14">
                  <c:v>34500</c:v>
                </c:pt>
                <c:pt idx="15">
                  <c:v>37500</c:v>
                </c:pt>
                <c:pt idx="16">
                  <c:v>38000</c:v>
                </c:pt>
                <c:pt idx="17">
                  <c:v>32100</c:v>
                </c:pt>
                <c:pt idx="18">
                  <c:v>26565</c:v>
                </c:pt>
                <c:pt idx="19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2F7-826B-B4805EA9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67736"/>
        <c:axId val="572367416"/>
      </c:lineChart>
      <c:dateAx>
        <c:axId val="572367736"/>
        <c:scaling>
          <c:orientation val="minMax"/>
        </c:scaling>
        <c:delete val="0"/>
        <c:axPos val="b"/>
        <c:numFmt formatCode="[$-100041D]yy\-m\-d" sourceLinked="0"/>
        <c:majorTickMark val="none"/>
        <c:minorTickMark val="none"/>
        <c:tickLblPos val="nextTo"/>
        <c:spPr>
          <a:ln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2367416"/>
        <c:crossesAt val="0"/>
        <c:auto val="0"/>
        <c:lblOffset val="100"/>
        <c:baseTimeUnit val="days"/>
      </c:dateAx>
      <c:valAx>
        <c:axId val="572367416"/>
        <c:scaling>
          <c:orientation val="minMax"/>
          <c:max val="60000"/>
        </c:scaling>
        <c:delete val="0"/>
        <c:axPos val="l"/>
        <c:majorGridlines>
          <c:spPr>
            <a:ln>
              <a:solidFill>
                <a:srgbClr val="B3B3B3"/>
              </a:solidFill>
              <a:prstDash val="solid"/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2367736"/>
        <c:crossesAt val="0"/>
        <c:crossBetween val="between"/>
        <c:majorUnit val="2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/>
              <a:t>Totalt Sparande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70466485394609"/>
          <c:y val="0.1111391142805374"/>
          <c:w val="0.86271630964990231"/>
          <c:h val="0.80055168812867872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ln>
                <a:prstDash val="solid"/>
              </a:ln>
            </c:spPr>
          </c:marker>
          <c:dLbls>
            <c:numFmt formatCode="#.##0&quot; &quot;[$kr-41D];[Red]&quot;-&quot;#.##0&quot; &quot;[$kr-41D]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'Grafik-data'!$E$3:$E$22</c:f>
              <c:numCache>
                <c:formatCode>yy/mm/dd;@</c:formatCode>
                <c:ptCount val="20"/>
                <c:pt idx="0">
                  <c:v>44165</c:v>
                </c:pt>
                <c:pt idx="1">
                  <c:v>44193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'Grafik-data'!$F$3:$F$22</c:f>
              <c:numCache>
                <c:formatCode>_("kr"* #,##0.00_);_("kr"* \(#,##0.00\);_("kr"* "-"??_);_(@_)</c:formatCode>
                <c:ptCount val="20"/>
                <c:pt idx="0">
                  <c:v>6579</c:v>
                </c:pt>
                <c:pt idx="1">
                  <c:v>8299</c:v>
                </c:pt>
                <c:pt idx="2">
                  <c:v>7552</c:v>
                </c:pt>
                <c:pt idx="3">
                  <c:v>10755</c:v>
                </c:pt>
                <c:pt idx="4">
                  <c:v>11783</c:v>
                </c:pt>
                <c:pt idx="5">
                  <c:v>11941</c:v>
                </c:pt>
                <c:pt idx="6">
                  <c:v>15313</c:v>
                </c:pt>
                <c:pt idx="7">
                  <c:v>19029</c:v>
                </c:pt>
                <c:pt idx="8">
                  <c:v>32050</c:v>
                </c:pt>
                <c:pt idx="9">
                  <c:v>32100</c:v>
                </c:pt>
                <c:pt idx="10">
                  <c:v>31800</c:v>
                </c:pt>
                <c:pt idx="11">
                  <c:v>42500</c:v>
                </c:pt>
                <c:pt idx="12">
                  <c:v>40500</c:v>
                </c:pt>
                <c:pt idx="13">
                  <c:v>37800</c:v>
                </c:pt>
                <c:pt idx="14">
                  <c:v>36200</c:v>
                </c:pt>
                <c:pt idx="15">
                  <c:v>41200</c:v>
                </c:pt>
                <c:pt idx="16">
                  <c:v>41600</c:v>
                </c:pt>
                <c:pt idx="17">
                  <c:v>33000</c:v>
                </c:pt>
                <c:pt idx="18">
                  <c:v>29565</c:v>
                </c:pt>
                <c:pt idx="19">
                  <c:v>28407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A-4DFD-9E68-7D05BE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36568"/>
        <c:axId val="579735608"/>
      </c:lineChart>
      <c:dateAx>
        <c:axId val="579736568"/>
        <c:scaling>
          <c:orientation val="minMax"/>
        </c:scaling>
        <c:delete val="0"/>
        <c:axPos val="b"/>
        <c:numFmt formatCode="yy/mm/dd;@" sourceLinked="1"/>
        <c:majorTickMark val="none"/>
        <c:minorTickMark val="none"/>
        <c:tickLblPos val="nextTo"/>
        <c:spPr>
          <a:ln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9735608"/>
        <c:crossesAt val="0"/>
        <c:auto val="0"/>
        <c:lblOffset val="100"/>
        <c:baseTimeUnit val="days"/>
      </c:dateAx>
      <c:valAx>
        <c:axId val="579735608"/>
        <c:scaling>
          <c:orientation val="minMax"/>
          <c:max val="80000"/>
        </c:scaling>
        <c:delete val="0"/>
        <c:axPos val="l"/>
        <c:majorGridlines>
          <c:spPr>
            <a:ln>
              <a:solidFill>
                <a:srgbClr val="B3B3B3"/>
              </a:solidFill>
              <a:prstDash val="solid"/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9736568"/>
        <c:crossesAt val="0"/>
        <c:crossBetween val="between"/>
        <c:majorUnit val="5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0</xdr:rowOff>
    </xdr:from>
    <xdr:to>
      <xdr:col>8</xdr:col>
      <xdr:colOff>828676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16</xdr:row>
      <xdr:rowOff>0</xdr:rowOff>
    </xdr:from>
    <xdr:to>
      <xdr:col>14</xdr:col>
      <xdr:colOff>233362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16</xdr:row>
      <xdr:rowOff>0</xdr:rowOff>
    </xdr:from>
    <xdr:to>
      <xdr:col>19</xdr:col>
      <xdr:colOff>752475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272880</xdr:colOff>
      <xdr:row>1</xdr:row>
      <xdr:rowOff>77401</xdr:rowOff>
    </xdr:from>
    <xdr:ext cx="5463360" cy="4781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191520</xdr:colOff>
      <xdr:row>1</xdr:row>
      <xdr:rowOff>102600</xdr:rowOff>
    </xdr:from>
    <xdr:ext cx="6473879" cy="475622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515879</xdr:colOff>
      <xdr:row>1</xdr:row>
      <xdr:rowOff>90720</xdr:rowOff>
    </xdr:from>
    <xdr:ext cx="6473879" cy="475739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November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Augusti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September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Oktober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December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Januari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Februari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Mar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April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Maj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Juni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e%20Juli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November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Augusti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September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Oktob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Decemb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Januari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Februari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Mar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April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Maj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Juni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e Jul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workbookViewId="0">
      <selection activeCell="S33" sqref="S33"/>
    </sheetView>
  </sheetViews>
  <sheetFormatPr defaultRowHeight="15" x14ac:dyDescent="0.25"/>
  <cols>
    <col min="1" max="1" width="19.75" style="11" customWidth="1"/>
    <col min="2" max="2" width="13.375" style="11" customWidth="1"/>
    <col min="3" max="4" width="12.625" style="11" customWidth="1"/>
    <col min="5" max="5" width="12.5" style="11" customWidth="1"/>
    <col min="6" max="6" width="13.125" style="11" customWidth="1"/>
    <col min="7" max="7" width="12.5" style="11" customWidth="1"/>
    <col min="8" max="8" width="13.125" style="11" customWidth="1"/>
    <col min="9" max="9" width="12.5" style="11" customWidth="1"/>
    <col min="10" max="10" width="13.125" style="11" customWidth="1"/>
    <col min="11" max="14" width="11" style="11" bestFit="1" customWidth="1"/>
    <col min="15" max="15" width="12.375" style="11" bestFit="1" customWidth="1"/>
    <col min="16" max="22" width="11" style="11" bestFit="1" customWidth="1"/>
    <col min="23" max="1024" width="8.25" style="11" customWidth="1"/>
  </cols>
  <sheetData>
    <row r="1" spans="1:1024" s="6" customFormat="1" x14ac:dyDescent="0.25">
      <c r="A1" s="12" t="s">
        <v>0</v>
      </c>
      <c r="B1" s="10"/>
      <c r="C1" s="10"/>
      <c r="D1" s="10">
        <v>44221</v>
      </c>
      <c r="E1" s="10">
        <v>44252</v>
      </c>
      <c r="F1" s="10">
        <v>44280</v>
      </c>
      <c r="G1" s="10">
        <v>44311</v>
      </c>
      <c r="H1" s="10">
        <v>44341</v>
      </c>
      <c r="I1" s="10">
        <v>44372</v>
      </c>
      <c r="J1" s="10">
        <v>44402</v>
      </c>
      <c r="K1" s="10">
        <v>44433</v>
      </c>
      <c r="L1" s="10">
        <v>44464</v>
      </c>
      <c r="M1" s="10">
        <v>44494</v>
      </c>
      <c r="N1" s="10">
        <v>44525</v>
      </c>
      <c r="O1" s="10">
        <v>44555</v>
      </c>
      <c r="P1" s="10">
        <v>44586</v>
      </c>
      <c r="Q1" s="10">
        <v>44617</v>
      </c>
      <c r="R1" s="10">
        <v>44645</v>
      </c>
      <c r="S1" s="10">
        <v>44676</v>
      </c>
      <c r="T1" s="10">
        <v>44706</v>
      </c>
      <c r="U1" s="10">
        <v>44737</v>
      </c>
      <c r="V1" s="10">
        <v>44768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</row>
    <row r="2" spans="1:1024" x14ac:dyDescent="0.25">
      <c r="A2" s="11" t="s">
        <v>1</v>
      </c>
      <c r="B2" s="14">
        <v>0</v>
      </c>
      <c r="C2" s="15">
        <v>900</v>
      </c>
      <c r="D2" s="15">
        <v>0</v>
      </c>
      <c r="E2" s="16">
        <v>780</v>
      </c>
      <c r="F2" s="17">
        <v>1300</v>
      </c>
      <c r="G2" s="17">
        <v>1200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250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</row>
    <row r="3" spans="1:1024" x14ac:dyDescent="0.25">
      <c r="A3" s="11" t="s">
        <v>2</v>
      </c>
      <c r="B3" s="14">
        <v>8079</v>
      </c>
      <c r="C3" s="15">
        <v>7250</v>
      </c>
      <c r="D3" s="15">
        <v>9725</v>
      </c>
      <c r="E3" s="16">
        <v>8660</v>
      </c>
      <c r="F3" s="17">
        <v>9727</v>
      </c>
      <c r="G3" s="17">
        <v>12000</v>
      </c>
      <c r="H3" s="17">
        <v>9900</v>
      </c>
      <c r="I3" s="17">
        <v>12000</v>
      </c>
      <c r="J3" s="17">
        <v>9000</v>
      </c>
      <c r="K3" s="17">
        <v>7000</v>
      </c>
      <c r="L3" s="17">
        <v>3000</v>
      </c>
      <c r="M3" s="17">
        <v>1700</v>
      </c>
      <c r="N3" s="17">
        <v>3700</v>
      </c>
      <c r="O3" s="17">
        <v>3600</v>
      </c>
      <c r="P3" s="17">
        <v>900</v>
      </c>
      <c r="Q3" s="17">
        <v>3000</v>
      </c>
      <c r="R3" s="17">
        <v>27500</v>
      </c>
      <c r="S3" s="17">
        <v>18020</v>
      </c>
      <c r="T3" s="17">
        <v>15000</v>
      </c>
      <c r="U3" s="17">
        <v>18000</v>
      </c>
      <c r="V3" s="17">
        <v>15400</v>
      </c>
    </row>
    <row r="4" spans="1:1024" x14ac:dyDescent="0.25">
      <c r="A4" s="11" t="s">
        <v>3</v>
      </c>
      <c r="B4" s="14">
        <v>0</v>
      </c>
      <c r="C4" s="15">
        <v>0</v>
      </c>
      <c r="D4" s="15">
        <v>0</v>
      </c>
      <c r="E4" s="16">
        <v>6580</v>
      </c>
      <c r="F4" s="17">
        <v>9757</v>
      </c>
      <c r="G4" s="17">
        <f>18550+1500</f>
        <v>20050</v>
      </c>
      <c r="H4" s="17">
        <v>22200</v>
      </c>
      <c r="I4" s="17">
        <v>24800</v>
      </c>
      <c r="J4" s="17">
        <v>33500</v>
      </c>
      <c r="K4" s="17">
        <v>33500</v>
      </c>
      <c r="L4" s="17">
        <v>30800</v>
      </c>
      <c r="M4" s="17">
        <v>34500</v>
      </c>
      <c r="N4" s="17">
        <v>37500</v>
      </c>
      <c r="O4" s="17">
        <v>38000</v>
      </c>
      <c r="P4" s="17">
        <v>32100</v>
      </c>
      <c r="Q4" s="17">
        <v>26565</v>
      </c>
      <c r="R4" s="17">
        <v>907</v>
      </c>
      <c r="S4" s="17">
        <v>907</v>
      </c>
      <c r="T4" s="17">
        <v>907</v>
      </c>
      <c r="U4" s="17">
        <v>907</v>
      </c>
      <c r="V4" s="17">
        <v>907</v>
      </c>
    </row>
    <row r="5" spans="1:1024" x14ac:dyDescent="0.25">
      <c r="A5" s="11" t="s">
        <v>4</v>
      </c>
      <c r="B5" s="14">
        <v>20000</v>
      </c>
      <c r="C5" s="15">
        <v>19300</v>
      </c>
      <c r="D5" s="15">
        <v>9500</v>
      </c>
      <c r="E5" s="16">
        <v>18000</v>
      </c>
      <c r="F5" s="17">
        <v>28000</v>
      </c>
      <c r="G5" s="17">
        <v>40000</v>
      </c>
      <c r="H5" s="17">
        <v>39000</v>
      </c>
      <c r="I5" s="17">
        <v>42000</v>
      </c>
      <c r="J5" s="17">
        <v>26000</v>
      </c>
      <c r="K5" s="17">
        <v>28500</v>
      </c>
      <c r="L5" s="17">
        <v>29000</v>
      </c>
      <c r="M5" s="17">
        <v>24000</v>
      </c>
      <c r="N5" s="17">
        <v>32500</v>
      </c>
      <c r="O5" s="17">
        <v>32500</v>
      </c>
      <c r="P5" s="17">
        <v>30000</v>
      </c>
      <c r="Q5" s="17">
        <v>28000</v>
      </c>
      <c r="R5" s="17">
        <v>29000</v>
      </c>
      <c r="S5" s="17">
        <v>23500</v>
      </c>
      <c r="T5" s="17">
        <v>21000</v>
      </c>
      <c r="U5" s="17">
        <v>29000</v>
      </c>
      <c r="V5" s="17">
        <v>28000</v>
      </c>
    </row>
    <row r="6" spans="1:1024" x14ac:dyDescent="0.25">
      <c r="A6" s="11" t="s">
        <v>5</v>
      </c>
      <c r="B6" s="14">
        <v>2000</v>
      </c>
      <c r="C6" s="15">
        <v>0</v>
      </c>
      <c r="D6" s="15">
        <v>1000</v>
      </c>
      <c r="E6" s="16">
        <v>2000</v>
      </c>
      <c r="F6" s="17">
        <v>3000</v>
      </c>
      <c r="G6" s="17">
        <v>7000</v>
      </c>
      <c r="H6" s="17">
        <v>8000</v>
      </c>
      <c r="I6" s="17">
        <v>7000</v>
      </c>
      <c r="J6" s="17">
        <v>9000</v>
      </c>
      <c r="K6" s="17">
        <v>9000</v>
      </c>
      <c r="L6" s="17">
        <v>10000</v>
      </c>
      <c r="M6" s="17">
        <v>0</v>
      </c>
      <c r="N6" s="17">
        <v>1000</v>
      </c>
      <c r="O6" s="17">
        <v>680</v>
      </c>
      <c r="P6" s="17">
        <v>381</v>
      </c>
      <c r="Q6" s="17">
        <v>381</v>
      </c>
      <c r="R6" s="17">
        <v>381</v>
      </c>
      <c r="S6" s="17">
        <v>1391</v>
      </c>
      <c r="T6" s="17">
        <v>1381</v>
      </c>
      <c r="U6" s="17">
        <v>1381</v>
      </c>
      <c r="V6" s="17">
        <v>1381</v>
      </c>
    </row>
    <row r="7" spans="1:1024" x14ac:dyDescent="0.25">
      <c r="A7" s="11" t="s">
        <v>6</v>
      </c>
      <c r="B7" s="14">
        <v>4500</v>
      </c>
      <c r="C7" s="15">
        <v>3000</v>
      </c>
      <c r="D7" s="15">
        <v>4000</v>
      </c>
      <c r="E7" s="16">
        <v>15000</v>
      </c>
      <c r="F7" s="17">
        <v>16000</v>
      </c>
      <c r="G7" s="17">
        <v>15500</v>
      </c>
      <c r="H7" s="17">
        <v>11300</v>
      </c>
      <c r="I7" s="17">
        <v>15000</v>
      </c>
      <c r="J7" s="17">
        <v>4500</v>
      </c>
      <c r="K7" s="17">
        <v>2000</v>
      </c>
      <c r="L7" s="17">
        <v>4500</v>
      </c>
      <c r="M7" s="17">
        <v>4000</v>
      </c>
      <c r="N7" s="17">
        <v>9000</v>
      </c>
      <c r="O7" s="17">
        <v>5900</v>
      </c>
      <c r="P7" s="17">
        <v>4000</v>
      </c>
      <c r="Q7" s="17">
        <v>4000</v>
      </c>
      <c r="R7" s="17">
        <v>1650</v>
      </c>
      <c r="S7" s="17">
        <v>15000</v>
      </c>
      <c r="T7" s="17">
        <v>12000</v>
      </c>
      <c r="U7" s="17">
        <v>27000</v>
      </c>
      <c r="V7" s="17">
        <v>27000</v>
      </c>
    </row>
    <row r="8" spans="1:1024" x14ac:dyDescent="0.25">
      <c r="A8" s="11" t="s">
        <v>7</v>
      </c>
      <c r="B8" s="14">
        <v>1952</v>
      </c>
      <c r="C8" s="18">
        <v>1952</v>
      </c>
      <c r="D8" s="18">
        <v>2084</v>
      </c>
      <c r="E8" s="16">
        <v>2086</v>
      </c>
      <c r="F8" s="17">
        <v>2167</v>
      </c>
      <c r="G8" s="17">
        <v>2243</v>
      </c>
      <c r="H8" s="17">
        <v>2243</v>
      </c>
      <c r="I8" s="17">
        <v>2243</v>
      </c>
      <c r="J8" s="17">
        <v>2243</v>
      </c>
      <c r="K8" s="17">
        <v>2243</v>
      </c>
      <c r="L8" s="17">
        <v>2243</v>
      </c>
      <c r="M8" s="17">
        <v>2243</v>
      </c>
      <c r="N8" s="17">
        <v>2561</v>
      </c>
      <c r="O8" s="17">
        <v>2539</v>
      </c>
      <c r="P8" s="17">
        <v>2539</v>
      </c>
      <c r="Q8" s="17">
        <v>2539</v>
      </c>
      <c r="R8" s="17">
        <v>2388</v>
      </c>
      <c r="S8" s="17">
        <v>2539</v>
      </c>
      <c r="T8" s="17">
        <v>2539</v>
      </c>
      <c r="U8" s="17">
        <v>2539</v>
      </c>
      <c r="V8" s="17">
        <v>2539</v>
      </c>
    </row>
    <row r="9" spans="1:1024" x14ac:dyDescent="0.25">
      <c r="A9" s="19" t="s">
        <v>8</v>
      </c>
      <c r="B9" s="20">
        <v>840</v>
      </c>
      <c r="C9" s="21">
        <v>840</v>
      </c>
      <c r="D9" s="21">
        <v>892</v>
      </c>
      <c r="E9" s="22">
        <v>891</v>
      </c>
      <c r="F9" s="23">
        <v>930</v>
      </c>
      <c r="G9" s="24">
        <v>959</v>
      </c>
      <c r="H9" s="24">
        <v>959</v>
      </c>
      <c r="I9" s="24">
        <v>959</v>
      </c>
      <c r="J9" s="24">
        <v>959</v>
      </c>
      <c r="K9" s="24">
        <v>959</v>
      </c>
      <c r="L9" s="24">
        <v>959</v>
      </c>
      <c r="M9" s="24">
        <v>959</v>
      </c>
      <c r="N9" s="24">
        <v>1106</v>
      </c>
      <c r="O9" s="24">
        <v>1105</v>
      </c>
      <c r="P9" s="24">
        <v>1105</v>
      </c>
      <c r="Q9" s="24">
        <v>1105</v>
      </c>
      <c r="R9" s="24">
        <v>1044</v>
      </c>
      <c r="S9" s="24">
        <v>1105</v>
      </c>
      <c r="T9" s="24">
        <v>1105</v>
      </c>
      <c r="U9" s="24">
        <v>1105</v>
      </c>
      <c r="V9" s="24">
        <v>1105</v>
      </c>
    </row>
    <row r="10" spans="1:1024" s="7" customFormat="1" ht="15.75" customHeight="1" x14ac:dyDescent="0.25">
      <c r="A10" s="25" t="s">
        <v>9</v>
      </c>
      <c r="B10" s="26">
        <f t="shared" ref="B10:V10" si="0">SUM(B2:B9)</f>
        <v>37371</v>
      </c>
      <c r="C10" s="26">
        <f t="shared" si="0"/>
        <v>33242</v>
      </c>
      <c r="D10" s="26">
        <f t="shared" si="0"/>
        <v>27201</v>
      </c>
      <c r="E10" s="26">
        <f t="shared" si="0"/>
        <v>53997</v>
      </c>
      <c r="F10" s="26">
        <f t="shared" si="0"/>
        <v>70881</v>
      </c>
      <c r="G10" s="26">
        <f t="shared" si="0"/>
        <v>98952</v>
      </c>
      <c r="H10" s="26">
        <f t="shared" si="0"/>
        <v>93602</v>
      </c>
      <c r="I10" s="26">
        <f t="shared" si="0"/>
        <v>104002</v>
      </c>
      <c r="J10" s="26">
        <f t="shared" si="0"/>
        <v>85202</v>
      </c>
      <c r="K10" s="26">
        <f t="shared" si="0"/>
        <v>83202</v>
      </c>
      <c r="L10" s="26">
        <f t="shared" si="0"/>
        <v>80502</v>
      </c>
      <c r="M10" s="26">
        <f t="shared" si="0"/>
        <v>67402</v>
      </c>
      <c r="N10" s="26">
        <f t="shared" si="0"/>
        <v>87617</v>
      </c>
      <c r="O10" s="26">
        <f t="shared" si="0"/>
        <v>84324</v>
      </c>
      <c r="P10" s="26">
        <f t="shared" si="0"/>
        <v>71025</v>
      </c>
      <c r="Q10" s="26">
        <f t="shared" si="0"/>
        <v>65590</v>
      </c>
      <c r="R10" s="26">
        <f t="shared" si="0"/>
        <v>62870</v>
      </c>
      <c r="S10" s="26">
        <f t="shared" si="0"/>
        <v>62462</v>
      </c>
      <c r="T10" s="26">
        <f t="shared" si="0"/>
        <v>53932</v>
      </c>
      <c r="U10" s="26">
        <f t="shared" si="0"/>
        <v>79932</v>
      </c>
      <c r="V10" s="26">
        <f t="shared" si="0"/>
        <v>76332</v>
      </c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</row>
    <row r="11" spans="1:1024" s="5" customFormat="1" x14ac:dyDescent="0.25">
      <c r="A11" s="27" t="s">
        <v>10</v>
      </c>
      <c r="B11" s="27"/>
      <c r="C11" s="28">
        <f t="shared" ref="C11:V11" si="1">C10-B10</f>
        <v>-4129</v>
      </c>
      <c r="D11" s="28">
        <f t="shared" si="1"/>
        <v>-6041</v>
      </c>
      <c r="E11" s="29">
        <f t="shared" si="1"/>
        <v>26796</v>
      </c>
      <c r="F11" s="29">
        <f t="shared" si="1"/>
        <v>16884</v>
      </c>
      <c r="G11" s="29">
        <f t="shared" si="1"/>
        <v>28071</v>
      </c>
      <c r="H11" s="28">
        <f t="shared" si="1"/>
        <v>-5350</v>
      </c>
      <c r="I11" s="29">
        <f t="shared" si="1"/>
        <v>10400</v>
      </c>
      <c r="J11" s="28">
        <f t="shared" si="1"/>
        <v>-18800</v>
      </c>
      <c r="K11" s="28">
        <f t="shared" si="1"/>
        <v>-2000</v>
      </c>
      <c r="L11" s="30">
        <f t="shared" si="1"/>
        <v>-2700</v>
      </c>
      <c r="M11" s="28">
        <f t="shared" si="1"/>
        <v>-13100</v>
      </c>
      <c r="N11" s="31">
        <f t="shared" si="1"/>
        <v>20215</v>
      </c>
      <c r="O11" s="28">
        <f t="shared" si="1"/>
        <v>-3293</v>
      </c>
      <c r="P11" s="28">
        <f t="shared" si="1"/>
        <v>-13299</v>
      </c>
      <c r="Q11" s="28">
        <f t="shared" si="1"/>
        <v>-5435</v>
      </c>
      <c r="R11" s="28">
        <f t="shared" si="1"/>
        <v>-2720</v>
      </c>
      <c r="S11" s="28">
        <f t="shared" si="1"/>
        <v>-408</v>
      </c>
      <c r="T11" s="28">
        <f t="shared" si="1"/>
        <v>-8530</v>
      </c>
      <c r="U11" s="31">
        <f t="shared" si="1"/>
        <v>26000</v>
      </c>
      <c r="V11" s="31">
        <f t="shared" si="1"/>
        <v>-3600</v>
      </c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</row>
    <row r="12" spans="1:1024" s="5" customFormat="1" x14ac:dyDescent="0.25">
      <c r="A12" s="27" t="s">
        <v>11</v>
      </c>
      <c r="B12" s="27"/>
      <c r="C12" s="32">
        <f t="shared" ref="C12:V12" si="2">(C10-B10)/C10</f>
        <v>-0.12421033632152097</v>
      </c>
      <c r="D12" s="32">
        <f t="shared" si="2"/>
        <v>-0.22208742325649791</v>
      </c>
      <c r="E12" s="33">
        <f t="shared" si="2"/>
        <v>0.49624979165509198</v>
      </c>
      <c r="F12" s="33">
        <f t="shared" si="2"/>
        <v>0.23820205696872224</v>
      </c>
      <c r="G12" s="33">
        <f t="shared" si="2"/>
        <v>0.28368299781712347</v>
      </c>
      <c r="H12" s="32">
        <f t="shared" si="2"/>
        <v>-5.7156898356872717E-2</v>
      </c>
      <c r="I12" s="33">
        <f t="shared" si="2"/>
        <v>9.9998076960058455E-2</v>
      </c>
      <c r="J12" s="32">
        <f t="shared" si="2"/>
        <v>-0.22065209736860636</v>
      </c>
      <c r="K12" s="32">
        <f t="shared" si="2"/>
        <v>-2.4037883704718637E-2</v>
      </c>
      <c r="L12" s="34">
        <f t="shared" si="2"/>
        <v>-3.3539539390325709E-2</v>
      </c>
      <c r="M12" s="32">
        <f t="shared" si="2"/>
        <v>-0.19435625055636332</v>
      </c>
      <c r="N12" s="35">
        <f t="shared" si="2"/>
        <v>0.23072006574066675</v>
      </c>
      <c r="O12" s="34">
        <f t="shared" si="2"/>
        <v>-3.9051752763151655E-2</v>
      </c>
      <c r="P12" s="34">
        <f t="shared" si="2"/>
        <v>-0.18724392819429778</v>
      </c>
      <c r="Q12" s="34">
        <f t="shared" si="2"/>
        <v>-8.2863241347766431E-2</v>
      </c>
      <c r="R12" s="34">
        <f t="shared" si="2"/>
        <v>-4.3263877843168444E-2</v>
      </c>
      <c r="S12" s="34">
        <f t="shared" si="2"/>
        <v>-6.5319714386346895E-3</v>
      </c>
      <c r="T12" s="34">
        <f t="shared" si="2"/>
        <v>-0.15816213008974264</v>
      </c>
      <c r="U12" s="35">
        <f t="shared" si="2"/>
        <v>0.32527648501226042</v>
      </c>
      <c r="V12" s="35">
        <f t="shared" si="2"/>
        <v>-4.7162395849709167E-2</v>
      </c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</row>
    <row r="14" spans="1:1024" x14ac:dyDescent="0.25">
      <c r="A14" s="11" t="s">
        <v>12</v>
      </c>
      <c r="B14" s="17">
        <v>6000</v>
      </c>
    </row>
  </sheetData>
  <pageMargins left="0.70000000000000007" right="0.70000000000000007" top="1.53740157480315" bottom="1.53740157480315" header="1.143700787401575" footer="1.143700787401575"/>
  <pageSetup fitToWidth="0" fitToHeight="0" orientation="portrait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37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v>24399</v>
      </c>
      <c r="C2" s="44" t="s">
        <v>14</v>
      </c>
      <c r="D2" s="43">
        <f>2650+18797+1322</f>
        <v>22769</v>
      </c>
      <c r="F2" s="45">
        <f>B2+D2</f>
        <v>47168</v>
      </c>
    </row>
    <row r="3" spans="1:17" ht="15" customHeight="1" x14ac:dyDescent="0.25">
      <c r="A3" s="65" t="s">
        <v>70</v>
      </c>
      <c r="B3" s="71">
        <v>109</v>
      </c>
      <c r="C3" s="76" t="s">
        <v>35</v>
      </c>
      <c r="D3" s="66">
        <v>235</v>
      </c>
      <c r="F3" s="46" t="e">
        <f>(F2-'[8]25e Juni'!F2)/F2</f>
        <v>#REF!</v>
      </c>
    </row>
    <row r="4" spans="1:17" x14ac:dyDescent="0.2">
      <c r="A4" s="36" t="s">
        <v>17</v>
      </c>
      <c r="B4" s="68">
        <v>277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436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v>1661</v>
      </c>
      <c r="F6" s="45">
        <f>D20+B20</f>
        <v>0</v>
      </c>
      <c r="H6" s="45">
        <f>F2-F6</f>
        <v>47168</v>
      </c>
      <c r="P6" s="53"/>
      <c r="Q6" s="59"/>
    </row>
    <row r="7" spans="1:17" ht="15" customHeight="1" x14ac:dyDescent="0.25">
      <c r="A7" s="36" t="s">
        <v>26</v>
      </c>
      <c r="B7" s="68">
        <v>500</v>
      </c>
      <c r="C7" s="38" t="s">
        <v>25</v>
      </c>
      <c r="D7" s="37">
        <v>7000</v>
      </c>
      <c r="F7" s="48" t="e">
        <f>(F6-'[8]25e Juni'!F6)/F6</f>
        <v>#REF!</v>
      </c>
      <c r="P7" s="53"/>
      <c r="Q7" s="59"/>
    </row>
    <row r="8" spans="1:17" x14ac:dyDescent="0.2">
      <c r="A8" s="36" t="s">
        <v>31</v>
      </c>
      <c r="B8" s="68">
        <v>343</v>
      </c>
      <c r="C8" s="38" t="s">
        <v>56</v>
      </c>
      <c r="D8" s="37">
        <v>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385</v>
      </c>
      <c r="C9" s="38" t="s">
        <v>30</v>
      </c>
      <c r="D9" s="37">
        <v>1107</v>
      </c>
      <c r="F9" s="77" t="e">
        <f>F6-(('[3]25e Januari'!F6+'[4]25e Februari'!F6+'[5]25e Mars'!F6+'[6]25e April'!F6+'[7]25e Maj'!F6+'[8]25e Juni'!F6)/6)</f>
        <v>#REF!</v>
      </c>
      <c r="H9" s="45">
        <f>H6/2</f>
        <v>23584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439</v>
      </c>
      <c r="P10" s="53"/>
      <c r="Q10" s="59"/>
    </row>
    <row r="11" spans="1:17" x14ac:dyDescent="0.2">
      <c r="A11" s="36" t="s">
        <v>37</v>
      </c>
      <c r="B11" s="68">
        <v>1260</v>
      </c>
      <c r="C11" s="38" t="s">
        <v>34</v>
      </c>
      <c r="D11" s="37">
        <v>145</v>
      </c>
      <c r="P11" s="53"/>
      <c r="Q11" s="59"/>
    </row>
    <row r="12" spans="1:17" x14ac:dyDescent="0.2">
      <c r="A12" s="36" t="s">
        <v>38</v>
      </c>
      <c r="B12" s="68">
        <v>87</v>
      </c>
      <c r="C12" s="1" t="s">
        <v>62</v>
      </c>
      <c r="D12" s="37">
        <v>628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68">
        <v>13737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159</v>
      </c>
      <c r="C15" s="38" t="s">
        <v>36</v>
      </c>
      <c r="D15" s="37">
        <v>1000</v>
      </c>
      <c r="P15" s="53"/>
      <c r="Q15" s="59"/>
    </row>
    <row r="16" spans="1:17" x14ac:dyDescent="0.2">
      <c r="A16" s="36" t="s">
        <v>41</v>
      </c>
      <c r="B16" s="68">
        <v>0</v>
      </c>
      <c r="C16" s="38" t="s">
        <v>68</v>
      </c>
      <c r="D16" s="37">
        <v>0</v>
      </c>
      <c r="O16" s="36"/>
    </row>
    <row r="17" spans="1:15" x14ac:dyDescent="0.2">
      <c r="A17" s="36" t="s">
        <v>18</v>
      </c>
      <c r="B17" s="68">
        <v>65</v>
      </c>
      <c r="O17" s="36"/>
    </row>
    <row r="18" spans="1:15" s="36" customFormat="1" x14ac:dyDescent="0.2">
      <c r="A18" s="36" t="s">
        <v>56</v>
      </c>
      <c r="B18" s="68">
        <v>0</v>
      </c>
      <c r="C18" s="38"/>
      <c r="D18" s="37"/>
    </row>
    <row r="19" spans="1:15" s="36" customFormat="1" x14ac:dyDescent="0.2">
      <c r="B19" s="68"/>
      <c r="C19" s="38"/>
      <c r="D19" s="37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SUM(B3:B18)</f>
        <v>18833</v>
      </c>
      <c r="C23" s="49" t="s">
        <v>42</v>
      </c>
      <c r="D23" s="50">
        <f>SUM(D3:D16)</f>
        <v>13820</v>
      </c>
    </row>
    <row r="24" spans="1:15" s="36" customFormat="1" ht="15" customHeight="1" x14ac:dyDescent="0.2">
      <c r="A24" s="36" t="s">
        <v>58</v>
      </c>
      <c r="B24" s="68">
        <v>99</v>
      </c>
      <c r="C24" s="38" t="s">
        <v>44</v>
      </c>
      <c r="D24" s="37">
        <v>570</v>
      </c>
    </row>
    <row r="25" spans="1:15" s="36" customFormat="1" ht="15" customHeight="1" x14ac:dyDescent="0.2">
      <c r="A25" s="36" t="s">
        <v>67</v>
      </c>
      <c r="B25" s="68">
        <v>145</v>
      </c>
      <c r="C25" s="38" t="s">
        <v>72</v>
      </c>
      <c r="D25" s="37">
        <v>5000</v>
      </c>
    </row>
    <row r="26" spans="1:15" s="36" customFormat="1" x14ac:dyDescent="0.2">
      <c r="A26" s="36" t="s">
        <v>47</v>
      </c>
      <c r="B26" s="68">
        <v>934</v>
      </c>
      <c r="C26" s="38" t="s">
        <v>56</v>
      </c>
      <c r="D26" s="37">
        <f>100+150+200</f>
        <v>450</v>
      </c>
    </row>
    <row r="27" spans="1:15" s="36" customFormat="1" ht="15" x14ac:dyDescent="0.25">
      <c r="A27" s="74" t="s">
        <v>72</v>
      </c>
      <c r="B27" s="75">
        <v>2000</v>
      </c>
      <c r="C27" s="60"/>
      <c r="H27" s="67"/>
      <c r="I27" s="63"/>
    </row>
    <row r="28" spans="1:15" s="36" customFormat="1" ht="15" x14ac:dyDescent="0.25">
      <c r="A28" s="74" t="s">
        <v>73</v>
      </c>
      <c r="B28" s="75">
        <v>2000</v>
      </c>
      <c r="C28" s="1"/>
      <c r="D28" s="37"/>
      <c r="H28" s="64"/>
      <c r="I28" s="63"/>
    </row>
    <row r="29" spans="1:15" s="36" customFormat="1" ht="15" customHeight="1" x14ac:dyDescent="0.2">
      <c r="B29" s="52"/>
      <c r="C29" s="38"/>
      <c r="D29" s="37"/>
    </row>
    <row r="30" spans="1:15" s="36" customFormat="1" x14ac:dyDescent="0.2">
      <c r="B30" s="52"/>
      <c r="C30" s="38"/>
      <c r="D30" s="37"/>
    </row>
    <row r="31" spans="1:15" s="36" customFormat="1" ht="15" customHeight="1" x14ac:dyDescent="0.2">
      <c r="B31" s="52"/>
      <c r="C31" s="38"/>
      <c r="D31" s="37"/>
    </row>
    <row r="32" spans="1:15" s="36" customFormat="1" ht="15" x14ac:dyDescent="0.25">
      <c r="A32" s="47" t="s">
        <v>51</v>
      </c>
      <c r="B32" s="73">
        <f>SUM(B21:B26)</f>
        <v>20011</v>
      </c>
      <c r="C32" s="49" t="s">
        <v>51</v>
      </c>
      <c r="D32" s="50">
        <f>SUM(D21:D26)</f>
        <v>19840</v>
      </c>
      <c r="H32" s="51"/>
      <c r="O32" s="53"/>
    </row>
    <row r="33" spans="1:15" x14ac:dyDescent="0.2">
      <c r="A33" s="36" t="s">
        <v>52</v>
      </c>
      <c r="B33" s="68">
        <f>H9-B29</f>
        <v>23584</v>
      </c>
      <c r="C33" s="38" t="s">
        <v>52</v>
      </c>
      <c r="D33" s="37">
        <f>H9-D29</f>
        <v>23584</v>
      </c>
    </row>
    <row r="34" spans="1:15" s="36" customFormat="1" ht="15" customHeight="1" x14ac:dyDescent="0.25">
      <c r="A34" s="47" t="s">
        <v>53</v>
      </c>
      <c r="B34" s="73">
        <f>(B2-B20)-B29</f>
        <v>24399</v>
      </c>
      <c r="C34" s="49" t="s">
        <v>53</v>
      </c>
      <c r="D34" s="50">
        <f>(D2-D20)-D29</f>
        <v>22769</v>
      </c>
      <c r="F34" s="51"/>
      <c r="O34" s="53"/>
    </row>
    <row r="35" spans="1:15" x14ac:dyDescent="0.2">
      <c r="A35" s="36" t="s">
        <v>54</v>
      </c>
      <c r="B35" s="68">
        <f>B31-B30</f>
        <v>0</v>
      </c>
      <c r="C35" s="38" t="s">
        <v>54</v>
      </c>
      <c r="D35" s="37">
        <f>D31-D30</f>
        <v>0</v>
      </c>
    </row>
    <row r="37" spans="1:15" ht="15" x14ac:dyDescent="0.25">
      <c r="A37" s="36" t="s">
        <v>55</v>
      </c>
      <c r="B37" s="73">
        <f>(B31-B32)+B29</f>
        <v>-20011</v>
      </c>
      <c r="C37" s="38" t="s">
        <v>55</v>
      </c>
      <c r="D37" s="50">
        <f>(D31-D32)+D29</f>
        <v>-19840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v>24399</v>
      </c>
      <c r="C2" s="44" t="s">
        <v>14</v>
      </c>
      <c r="D2" s="43">
        <f>2650+15800+550</f>
        <v>19000</v>
      </c>
      <c r="F2" s="45">
        <f>B2+D2</f>
        <v>43399</v>
      </c>
    </row>
    <row r="3" spans="1:17" ht="15" customHeight="1" x14ac:dyDescent="0.25">
      <c r="A3" s="65" t="s">
        <v>70</v>
      </c>
      <c r="B3" s="71">
        <v>109</v>
      </c>
      <c r="C3" s="76" t="s">
        <v>74</v>
      </c>
      <c r="D3" s="66">
        <v>0</v>
      </c>
      <c r="F3" s="46" t="e">
        <f>(F2-'[9]25e Juli'!F2)/F2</f>
        <v>#REF!</v>
      </c>
    </row>
    <row r="4" spans="1:17" x14ac:dyDescent="0.2">
      <c r="A4" s="36" t="s">
        <v>17</v>
      </c>
      <c r="B4" s="68">
        <v>699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412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f>1007+386</f>
        <v>1393</v>
      </c>
      <c r="F6" s="45">
        <f>D20+B20</f>
        <v>0</v>
      </c>
      <c r="H6" s="45">
        <f>F2-F6</f>
        <v>43399</v>
      </c>
      <c r="P6" s="53"/>
      <c r="Q6" s="59"/>
    </row>
    <row r="7" spans="1:17" ht="15" customHeight="1" x14ac:dyDescent="0.25">
      <c r="A7" s="36" t="s">
        <v>26</v>
      </c>
      <c r="B7" s="68">
        <v>500</v>
      </c>
      <c r="C7" s="38" t="s">
        <v>25</v>
      </c>
      <c r="D7" s="37">
        <v>7630</v>
      </c>
      <c r="F7" s="46" t="e">
        <f>(F6-'[9]25e Juli'!F6)/F6</f>
        <v>#REF!</v>
      </c>
      <c r="P7" s="53"/>
      <c r="Q7" s="59"/>
    </row>
    <row r="8" spans="1:17" x14ac:dyDescent="0.2">
      <c r="A8" s="36" t="s">
        <v>31</v>
      </c>
      <c r="B8" s="68">
        <v>343</v>
      </c>
      <c r="C8" s="38" t="s">
        <v>56</v>
      </c>
      <c r="D8" s="37">
        <f>450+130+320</f>
        <v>900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385</v>
      </c>
      <c r="C9" s="38" t="s">
        <v>30</v>
      </c>
      <c r="D9" s="37">
        <v>0</v>
      </c>
      <c r="F9" s="77" t="e">
        <f>F6-(('[4]25e Februari'!F6+'[5]25e Mars'!F6+'[6]25e April'!F6+'[7]25e Maj'!F6+'[8]25e Juni'!F6+'[9]25e Juli'!F6)/6)</f>
        <v>#REF!</v>
      </c>
      <c r="H9" s="45">
        <f>H6/2</f>
        <v>21699.5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439</v>
      </c>
      <c r="P10" s="53"/>
      <c r="Q10" s="59"/>
    </row>
    <row r="11" spans="1:17" x14ac:dyDescent="0.2">
      <c r="A11" s="36" t="s">
        <v>37</v>
      </c>
      <c r="B11" s="68">
        <v>2154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v>63</v>
      </c>
      <c r="C12" s="1" t="s">
        <v>62</v>
      </c>
      <c r="D12" s="37">
        <v>628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68">
        <v>13523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159</v>
      </c>
      <c r="C15" s="38" t="s">
        <v>36</v>
      </c>
      <c r="D15" s="37">
        <v>0</v>
      </c>
      <c r="P15" s="53"/>
      <c r="Q15" s="59"/>
    </row>
    <row r="16" spans="1:17" x14ac:dyDescent="0.2">
      <c r="A16" s="36" t="s">
        <v>41</v>
      </c>
      <c r="B16" s="68">
        <v>0</v>
      </c>
      <c r="C16" s="38" t="s">
        <v>68</v>
      </c>
      <c r="D16" s="37">
        <v>0</v>
      </c>
      <c r="O16" s="36"/>
    </row>
    <row r="17" spans="1:15" x14ac:dyDescent="0.2">
      <c r="A17" s="36" t="s">
        <v>18</v>
      </c>
      <c r="B17" s="68">
        <v>65</v>
      </c>
      <c r="O17" s="36"/>
    </row>
    <row r="18" spans="1:15" s="36" customFormat="1" x14ac:dyDescent="0.2">
      <c r="A18" s="36" t="s">
        <v>56</v>
      </c>
      <c r="B18" s="68">
        <v>0</v>
      </c>
      <c r="C18" s="38"/>
      <c r="D18" s="37"/>
    </row>
    <row r="19" spans="1:15" s="36" customFormat="1" x14ac:dyDescent="0.2">
      <c r="B19" s="68"/>
      <c r="C19" s="38"/>
      <c r="D19" s="37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SUM(B3:B18)</f>
        <v>19911</v>
      </c>
      <c r="C23" s="49" t="s">
        <v>42</v>
      </c>
      <c r="D23" s="50">
        <f>SUM(D3:D16)</f>
        <v>12946</v>
      </c>
    </row>
    <row r="24" spans="1:15" s="36" customFormat="1" x14ac:dyDescent="0.2">
      <c r="A24" s="36" t="s">
        <v>58</v>
      </c>
      <c r="B24" s="68">
        <v>99</v>
      </c>
      <c r="C24" s="38" t="s">
        <v>44</v>
      </c>
      <c r="D24" s="37">
        <v>570</v>
      </c>
    </row>
    <row r="25" spans="1:15" s="36" customFormat="1" ht="15" customHeight="1" x14ac:dyDescent="0.2">
      <c r="A25" s="36" t="s">
        <v>67</v>
      </c>
      <c r="B25" s="68">
        <v>145</v>
      </c>
      <c r="C25" s="38"/>
      <c r="D25" s="37"/>
    </row>
    <row r="26" spans="1:15" s="36" customFormat="1" ht="15" customHeight="1" x14ac:dyDescent="0.2">
      <c r="A26" s="36" t="s">
        <v>75</v>
      </c>
      <c r="B26" s="68">
        <f>159+807+1000</f>
        <v>1966</v>
      </c>
      <c r="C26" s="38"/>
      <c r="D26" s="37"/>
    </row>
    <row r="27" spans="1:15" s="36" customFormat="1" x14ac:dyDescent="0.2">
      <c r="A27" s="36" t="s">
        <v>47</v>
      </c>
      <c r="B27" s="68">
        <v>900</v>
      </c>
      <c r="C27" s="38"/>
      <c r="D27" s="37"/>
    </row>
    <row r="28" spans="1:15" s="36" customFormat="1" ht="15" x14ac:dyDescent="0.25">
      <c r="A28" s="74" t="s">
        <v>72</v>
      </c>
      <c r="B28" s="75">
        <v>0</v>
      </c>
      <c r="C28" s="60"/>
      <c r="H28" s="67"/>
      <c r="I28" s="63"/>
    </row>
    <row r="29" spans="1:15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5" s="36" customFormat="1" ht="15" customHeight="1" x14ac:dyDescent="0.2">
      <c r="B30" s="52"/>
      <c r="C30" s="38"/>
      <c r="D30" s="37"/>
    </row>
    <row r="31" spans="1:15" s="36" customFormat="1" x14ac:dyDescent="0.2">
      <c r="B31" s="52"/>
      <c r="C31" s="38"/>
      <c r="D31" s="37"/>
    </row>
    <row r="32" spans="1:15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23021</v>
      </c>
      <c r="C33" s="49" t="s">
        <v>51</v>
      </c>
      <c r="D33" s="50">
        <f>SUM(D21:D27)</f>
        <v>13516</v>
      </c>
      <c r="H33" s="51"/>
      <c r="O33" s="53"/>
    </row>
    <row r="34" spans="1:15" x14ac:dyDescent="0.2">
      <c r="A34" s="36" t="s">
        <v>52</v>
      </c>
      <c r="B34" s="68">
        <f>H9-B30</f>
        <v>21699.5</v>
      </c>
      <c r="C34" s="38" t="s">
        <v>52</v>
      </c>
      <c r="D34" s="37">
        <f>H9-D30</f>
        <v>21699.5</v>
      </c>
    </row>
    <row r="35" spans="1:15" s="36" customFormat="1" ht="15" customHeight="1" x14ac:dyDescent="0.25">
      <c r="A35" s="47" t="s">
        <v>53</v>
      </c>
      <c r="B35" s="73">
        <f>(B2-B20)-B30</f>
        <v>24399</v>
      </c>
      <c r="C35" s="49" t="s">
        <v>53</v>
      </c>
      <c r="D35" s="50">
        <f>(D2-D20)-D30</f>
        <v>19000</v>
      </c>
      <c r="F35" s="51"/>
      <c r="O35" s="53"/>
    </row>
    <row r="36" spans="1:15" x14ac:dyDescent="0.2">
      <c r="A36" s="36" t="s">
        <v>54</v>
      </c>
      <c r="B36" s="68">
        <f>B32-B31</f>
        <v>0</v>
      </c>
      <c r="C36" s="38" t="s">
        <v>54</v>
      </c>
      <c r="D36" s="37">
        <f>D32-D31</f>
        <v>0</v>
      </c>
    </row>
    <row r="38" spans="1:15" ht="15" x14ac:dyDescent="0.25">
      <c r="A38" s="36" t="s">
        <v>55</v>
      </c>
      <c r="B38" s="73">
        <f>(B32-B33)+B30</f>
        <v>-23021</v>
      </c>
      <c r="C38" s="38" t="s">
        <v>55</v>
      </c>
      <c r="D38" s="50">
        <f>(D32-D33)+D30</f>
        <v>-13516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v>24399</v>
      </c>
      <c r="C2" s="44" t="s">
        <v>14</v>
      </c>
      <c r="D2" s="43">
        <f>2650+1134+17709</f>
        <v>21493</v>
      </c>
      <c r="F2" s="45">
        <f>B2+D2</f>
        <v>45892</v>
      </c>
    </row>
    <row r="3" spans="1:17" ht="15" customHeight="1" x14ac:dyDescent="0.25">
      <c r="A3" s="65" t="s">
        <v>70</v>
      </c>
      <c r="B3" s="71">
        <v>109</v>
      </c>
      <c r="C3" s="76" t="s">
        <v>74</v>
      </c>
      <c r="D3" s="66">
        <v>0</v>
      </c>
      <c r="F3" s="48" t="e">
        <f>(F2-'[10]25e Augusti'!F2)/F2</f>
        <v>#REF!</v>
      </c>
    </row>
    <row r="4" spans="1:17" x14ac:dyDescent="0.2">
      <c r="A4" s="36" t="s">
        <v>17</v>
      </c>
      <c r="B4" s="68">
        <v>269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420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f>1007+503</f>
        <v>1510</v>
      </c>
      <c r="F6" s="45">
        <f>D20+B20</f>
        <v>0</v>
      </c>
      <c r="H6" s="45">
        <f>F2-F6</f>
        <v>45892</v>
      </c>
      <c r="P6" s="53"/>
      <c r="Q6" s="59"/>
    </row>
    <row r="7" spans="1:17" ht="15" customHeight="1" x14ac:dyDescent="0.25">
      <c r="A7" s="36" t="s">
        <v>26</v>
      </c>
      <c r="B7" s="68">
        <v>500</v>
      </c>
      <c r="C7" s="38" t="s">
        <v>25</v>
      </c>
      <c r="D7" s="37">
        <v>7000</v>
      </c>
      <c r="F7" s="46" t="e">
        <f>(F6-'[9]25e Juli'!F6)/F6</f>
        <v>#REF!</v>
      </c>
      <c r="P7" s="53"/>
      <c r="Q7" s="59"/>
    </row>
    <row r="8" spans="1:17" x14ac:dyDescent="0.2">
      <c r="A8" s="36" t="s">
        <v>31</v>
      </c>
      <c r="B8" s="68">
        <v>343</v>
      </c>
      <c r="C8" s="38" t="s">
        <v>56</v>
      </c>
      <c r="D8" s="37">
        <f>392+248+580+850+480</f>
        <v>2550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385</v>
      </c>
      <c r="C9" s="38" t="s">
        <v>30</v>
      </c>
      <c r="D9" s="37">
        <v>0</v>
      </c>
      <c r="F9" s="72" t="e">
        <f>F6-(('[5]25e Mars'!F6+'[6]25e April'!F6+'[7]25e Maj'!F6+'[8]25e Juni'!F6+'[9]25e Juli'!F6+'[10]25e Augusti'!F6)/6)</f>
        <v>#REF!</v>
      </c>
      <c r="H9" s="45">
        <f>H6/2</f>
        <v>22946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x14ac:dyDescent="0.2">
      <c r="A11" s="36" t="s">
        <v>37</v>
      </c>
      <c r="B11" s="68">
        <v>726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v>75</v>
      </c>
      <c r="C12" s="1" t="s">
        <v>62</v>
      </c>
      <c r="D12" s="37">
        <v>628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68">
        <v>13538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159</v>
      </c>
      <c r="C15" s="38" t="s">
        <v>36</v>
      </c>
      <c r="D15" s="37">
        <v>2500</v>
      </c>
      <c r="P15" s="53"/>
      <c r="Q15" s="59"/>
    </row>
    <row r="16" spans="1:17" x14ac:dyDescent="0.2">
      <c r="A16" s="36" t="s">
        <v>41</v>
      </c>
      <c r="B16" s="68">
        <v>1000</v>
      </c>
      <c r="C16" s="38" t="s">
        <v>68</v>
      </c>
      <c r="D16" s="37">
        <v>0</v>
      </c>
      <c r="O16" s="36"/>
    </row>
    <row r="17" spans="1:15" x14ac:dyDescent="0.2">
      <c r="A17" s="36" t="s">
        <v>18</v>
      </c>
      <c r="B17" s="68">
        <v>65</v>
      </c>
      <c r="O17" s="36"/>
    </row>
    <row r="18" spans="1:15" s="36" customFormat="1" x14ac:dyDescent="0.2">
      <c r="A18" s="36" t="s">
        <v>56</v>
      </c>
      <c r="B18" s="68">
        <v>426</v>
      </c>
      <c r="C18" s="38"/>
      <c r="D18" s="37"/>
    </row>
    <row r="19" spans="1:15" s="36" customFormat="1" x14ac:dyDescent="0.2">
      <c r="B19" s="68"/>
      <c r="C19" s="38"/>
      <c r="D19" s="37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SUM(B3:B18)</f>
        <v>19506</v>
      </c>
      <c r="C23" s="49" t="s">
        <v>42</v>
      </c>
      <c r="D23" s="50">
        <f>SUM(D3:D16)</f>
        <v>16631</v>
      </c>
    </row>
    <row r="24" spans="1:15" s="36" customFormat="1" x14ac:dyDescent="0.2">
      <c r="A24" s="36" t="s">
        <v>58</v>
      </c>
      <c r="B24" s="68">
        <v>99</v>
      </c>
      <c r="C24" s="38" t="s">
        <v>44</v>
      </c>
      <c r="D24" s="37">
        <v>570</v>
      </c>
      <c r="H24" s="36">
        <f>F6-B16-D15</f>
        <v>-3500</v>
      </c>
    </row>
    <row r="25" spans="1:15" s="36" customFormat="1" ht="15" customHeight="1" x14ac:dyDescent="0.2">
      <c r="A25" s="36" t="s">
        <v>67</v>
      </c>
      <c r="B25" s="68">
        <v>145</v>
      </c>
      <c r="C25" s="38"/>
      <c r="D25" s="37"/>
    </row>
    <row r="26" spans="1:15" s="36" customFormat="1" ht="15" customHeight="1" x14ac:dyDescent="0.2">
      <c r="A26" s="36" t="s">
        <v>75</v>
      </c>
      <c r="B26" s="68">
        <f>1177.96+1102</f>
        <v>2279.96</v>
      </c>
      <c r="C26" s="38"/>
      <c r="D26" s="37"/>
    </row>
    <row r="27" spans="1:15" s="36" customFormat="1" x14ac:dyDescent="0.2">
      <c r="A27" s="36" t="s">
        <v>47</v>
      </c>
      <c r="B27" s="68">
        <v>900</v>
      </c>
      <c r="C27" s="38"/>
      <c r="D27" s="37"/>
    </row>
    <row r="28" spans="1:15" s="36" customFormat="1" ht="15" x14ac:dyDescent="0.25">
      <c r="A28" s="74" t="s">
        <v>72</v>
      </c>
      <c r="B28" s="75">
        <v>0</v>
      </c>
      <c r="C28" s="60"/>
      <c r="H28" s="67"/>
      <c r="I28" s="63"/>
    </row>
    <row r="29" spans="1:15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5" s="36" customFormat="1" ht="15" customHeight="1" x14ac:dyDescent="0.2">
      <c r="B30" s="52"/>
      <c r="C30" s="38"/>
      <c r="D30" s="37"/>
    </row>
    <row r="31" spans="1:15" s="36" customFormat="1" x14ac:dyDescent="0.2">
      <c r="B31" s="52"/>
      <c r="C31" s="38"/>
      <c r="D31" s="37"/>
    </row>
    <row r="32" spans="1:15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22929.96</v>
      </c>
      <c r="C33" s="49" t="s">
        <v>51</v>
      </c>
      <c r="D33" s="50">
        <f>SUM(D21:D27)</f>
        <v>17201</v>
      </c>
      <c r="H33" s="51"/>
      <c r="O33" s="53"/>
    </row>
    <row r="34" spans="1:15" x14ac:dyDescent="0.2">
      <c r="A34" s="36" t="s">
        <v>52</v>
      </c>
      <c r="B34" s="68">
        <f>H9-B30</f>
        <v>22946</v>
      </c>
      <c r="C34" s="38" t="s">
        <v>52</v>
      </c>
      <c r="D34" s="37">
        <f>H9-D30</f>
        <v>22946</v>
      </c>
    </row>
    <row r="35" spans="1:15" s="36" customFormat="1" ht="15" customHeight="1" x14ac:dyDescent="0.25">
      <c r="A35" s="47" t="s">
        <v>53</v>
      </c>
      <c r="B35" s="73">
        <f>(B2-B20)-B30</f>
        <v>24399</v>
      </c>
      <c r="C35" s="49" t="s">
        <v>53</v>
      </c>
      <c r="D35" s="50">
        <f>(D2-D20)-D30</f>
        <v>21493</v>
      </c>
      <c r="F35" s="51"/>
      <c r="O35" s="53"/>
    </row>
    <row r="36" spans="1:15" x14ac:dyDescent="0.2">
      <c r="A36" s="36" t="s">
        <v>54</v>
      </c>
      <c r="B36" s="68">
        <f>B32-B31</f>
        <v>0</v>
      </c>
      <c r="C36" s="38" t="s">
        <v>54</v>
      </c>
      <c r="D36" s="37">
        <f>D32-D31</f>
        <v>0</v>
      </c>
    </row>
    <row r="38" spans="1:15" ht="15" x14ac:dyDescent="0.25">
      <c r="A38" s="36" t="s">
        <v>55</v>
      </c>
      <c r="B38" s="73">
        <f>(B32-B33)+B30</f>
        <v>-22929.96</v>
      </c>
      <c r="C38" s="38" t="s">
        <v>55</v>
      </c>
      <c r="D38" s="50">
        <f>(D32-D33)+D30</f>
        <v>-17201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f>36556+567</f>
        <v>37123</v>
      </c>
      <c r="C2" s="44" t="s">
        <v>14</v>
      </c>
      <c r="D2" s="43">
        <f>7079+2650+1889+114</f>
        <v>11732</v>
      </c>
      <c r="F2" s="45">
        <f>B2+D2</f>
        <v>48855</v>
      </c>
    </row>
    <row r="3" spans="1:17" ht="15" customHeight="1" x14ac:dyDescent="0.25">
      <c r="A3" s="65" t="s">
        <v>70</v>
      </c>
      <c r="B3" s="71">
        <v>109</v>
      </c>
      <c r="C3" s="76" t="s">
        <v>76</v>
      </c>
      <c r="D3" s="66">
        <v>208</v>
      </c>
      <c r="F3" s="48" t="e">
        <f>(F2-'[11]25e September'!F2)/F2</f>
        <v>#REF!</v>
      </c>
    </row>
    <row r="4" spans="1:17" x14ac:dyDescent="0.2">
      <c r="A4" s="36" t="s">
        <v>17</v>
      </c>
      <c r="B4" s="68">
        <v>269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429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f>1007+503</f>
        <v>1510</v>
      </c>
      <c r="F6" s="45">
        <f>D20+B20</f>
        <v>0</v>
      </c>
      <c r="H6" s="45">
        <f>F2-F6</f>
        <v>48855</v>
      </c>
      <c r="P6" s="53"/>
      <c r="Q6" s="59"/>
    </row>
    <row r="7" spans="1:17" ht="15" customHeight="1" x14ac:dyDescent="0.25">
      <c r="A7" s="36" t="s">
        <v>26</v>
      </c>
      <c r="B7" s="68">
        <v>615</v>
      </c>
      <c r="C7" s="38" t="s">
        <v>25</v>
      </c>
      <c r="D7" s="37">
        <v>7000</v>
      </c>
      <c r="F7" s="46" t="e">
        <f>(F6-'[11]25e September'!F6)/F6</f>
        <v>#REF!</v>
      </c>
      <c r="P7" s="53"/>
      <c r="Q7" s="59"/>
    </row>
    <row r="8" spans="1:17" x14ac:dyDescent="0.2">
      <c r="A8" s="36" t="s">
        <v>31</v>
      </c>
      <c r="B8" s="68">
        <v>343</v>
      </c>
      <c r="C8" s="38" t="s">
        <v>56</v>
      </c>
      <c r="D8" s="37">
        <v>480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385</v>
      </c>
      <c r="C9" s="38" t="s">
        <v>30</v>
      </c>
      <c r="D9" s="37">
        <v>0</v>
      </c>
      <c r="F9" s="77" t="e">
        <f>F6-(('[6]25e April'!F6+'[7]25e Maj'!F6+'[8]25e Juni'!F6+'[9]25e Juli'!F6+'[10]25e Augusti'!F6+'[11]25e September'!F6)/6)</f>
        <v>#REF!</v>
      </c>
      <c r="H9" s="45">
        <f>H6/2</f>
        <v>24427.5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x14ac:dyDescent="0.2">
      <c r="A11" s="36" t="s">
        <v>37</v>
      </c>
      <c r="B11" s="68">
        <v>775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v>58</v>
      </c>
      <c r="C12" s="1" t="s">
        <v>62</v>
      </c>
      <c r="D12" s="37">
        <v>628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68">
        <v>13529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159</v>
      </c>
      <c r="C15" s="38" t="s">
        <v>36</v>
      </c>
      <c r="D15" s="37">
        <v>0</v>
      </c>
      <c r="P15" s="53"/>
      <c r="Q15" s="59"/>
    </row>
    <row r="16" spans="1:17" x14ac:dyDescent="0.2">
      <c r="A16" s="36" t="s">
        <v>41</v>
      </c>
      <c r="B16" s="68">
        <v>13600</v>
      </c>
      <c r="C16" s="38" t="s">
        <v>68</v>
      </c>
      <c r="D16" s="37">
        <v>0</v>
      </c>
      <c r="H16" s="36">
        <f>F6-B16</f>
        <v>-13600</v>
      </c>
      <c r="O16" s="36"/>
    </row>
    <row r="17" spans="1:15" x14ac:dyDescent="0.2">
      <c r="A17" s="36" t="s">
        <v>18</v>
      </c>
      <c r="B17" s="68">
        <v>65</v>
      </c>
      <c r="O17" s="36"/>
    </row>
    <row r="18" spans="1:15" s="36" customFormat="1" x14ac:dyDescent="0.2">
      <c r="A18" s="36" t="s">
        <v>56</v>
      </c>
      <c r="B18" s="68">
        <v>0</v>
      </c>
      <c r="C18" s="38"/>
      <c r="D18" s="37"/>
    </row>
    <row r="19" spans="1:15" s="36" customFormat="1" x14ac:dyDescent="0.2">
      <c r="B19" s="68"/>
      <c r="C19" s="38"/>
      <c r="D19" s="37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SUM(B3:B18)</f>
        <v>31818</v>
      </c>
      <c r="C23" s="49" t="s">
        <v>42</v>
      </c>
      <c r="D23" s="50">
        <f>SUM(D3:D16)</f>
        <v>12278</v>
      </c>
    </row>
    <row r="24" spans="1:15" s="36" customFormat="1" x14ac:dyDescent="0.2">
      <c r="A24" s="36" t="s">
        <v>58</v>
      </c>
      <c r="B24" s="68">
        <v>99</v>
      </c>
      <c r="C24" s="38" t="s">
        <v>44</v>
      </c>
      <c r="D24" s="37">
        <v>570</v>
      </c>
    </row>
    <row r="25" spans="1:15" s="36" customFormat="1" ht="15" customHeight="1" x14ac:dyDescent="0.2">
      <c r="A25" s="36" t="s">
        <v>67</v>
      </c>
      <c r="B25" s="68">
        <v>145</v>
      </c>
      <c r="C25" s="38" t="s">
        <v>27</v>
      </c>
      <c r="D25" s="37">
        <v>950</v>
      </c>
    </row>
    <row r="26" spans="1:15" s="36" customFormat="1" ht="15" customHeight="1" x14ac:dyDescent="0.2">
      <c r="A26" s="36" t="s">
        <v>75</v>
      </c>
      <c r="B26" s="68">
        <v>1180</v>
      </c>
      <c r="C26" s="38"/>
      <c r="D26" s="37"/>
    </row>
    <row r="27" spans="1:15" s="36" customFormat="1" x14ac:dyDescent="0.2">
      <c r="A27" s="36" t="s">
        <v>47</v>
      </c>
      <c r="B27" s="68">
        <v>900</v>
      </c>
      <c r="C27" s="38"/>
      <c r="D27" s="37"/>
    </row>
    <row r="28" spans="1:15" s="36" customFormat="1" ht="15" x14ac:dyDescent="0.25">
      <c r="A28" s="74" t="s">
        <v>72</v>
      </c>
      <c r="B28" s="75">
        <v>0</v>
      </c>
      <c r="C28" s="60"/>
      <c r="I28" s="67"/>
      <c r="J28" s="63"/>
    </row>
    <row r="29" spans="1:15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5" s="36" customFormat="1" ht="15" customHeight="1" x14ac:dyDescent="0.2">
      <c r="B30" s="52"/>
      <c r="C30" s="38"/>
      <c r="D30" s="37"/>
    </row>
    <row r="31" spans="1:15" s="36" customFormat="1" x14ac:dyDescent="0.2">
      <c r="B31" s="52"/>
      <c r="C31" s="38"/>
      <c r="D31" s="37"/>
    </row>
    <row r="32" spans="1:15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34142</v>
      </c>
      <c r="C33" s="49" t="s">
        <v>51</v>
      </c>
      <c r="D33" s="50">
        <f>SUM(D21:D27)</f>
        <v>13798</v>
      </c>
      <c r="H33" s="51"/>
      <c r="O33" s="53"/>
    </row>
    <row r="34" spans="1:15" x14ac:dyDescent="0.2">
      <c r="A34" s="36" t="s">
        <v>52</v>
      </c>
      <c r="B34" s="68">
        <f>H9-B30</f>
        <v>24427.5</v>
      </c>
      <c r="C34" s="38" t="s">
        <v>52</v>
      </c>
      <c r="D34" s="37">
        <f>H9-D30</f>
        <v>24427.5</v>
      </c>
    </row>
    <row r="35" spans="1:15" s="36" customFormat="1" ht="15" customHeight="1" x14ac:dyDescent="0.25">
      <c r="A35" s="47" t="s">
        <v>53</v>
      </c>
      <c r="B35" s="73">
        <f>(B2-B20)-B30</f>
        <v>37123</v>
      </c>
      <c r="C35" s="49" t="s">
        <v>53</v>
      </c>
      <c r="D35" s="50">
        <f>(D2-D20)-D30</f>
        <v>11732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D31-32</f>
        <v>-32</v>
      </c>
    </row>
    <row r="38" spans="1:15" ht="15" x14ac:dyDescent="0.25">
      <c r="A38" s="36" t="s">
        <v>55</v>
      </c>
      <c r="B38" s="73">
        <f>(B32-B33)+B30</f>
        <v>-34142</v>
      </c>
      <c r="C38" s="38" t="s">
        <v>55</v>
      </c>
      <c r="D38" s="50">
        <f>(D32-D33)+D30</f>
        <v>-13798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1"/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f>24511+1500</f>
        <v>26011</v>
      </c>
      <c r="C2" s="44" t="s">
        <v>14</v>
      </c>
      <c r="D2" s="43">
        <f>18000+6380+2650+1014+7549+550+1500</f>
        <v>37643</v>
      </c>
      <c r="F2" s="45">
        <f>B2+D2</f>
        <v>63654</v>
      </c>
    </row>
    <row r="3" spans="1:17" ht="15" customHeight="1" x14ac:dyDescent="0.25">
      <c r="A3" s="65" t="s">
        <v>70</v>
      </c>
      <c r="B3" s="78">
        <v>99</v>
      </c>
      <c r="C3" s="76" t="s">
        <v>76</v>
      </c>
      <c r="D3" s="66">
        <v>0</v>
      </c>
      <c r="F3" s="48" t="e">
        <f>(F2-'[12]25e Oktober'!F2)/F2</f>
        <v>#REF!</v>
      </c>
    </row>
    <row r="4" spans="1:17" ht="15" customHeight="1" x14ac:dyDescent="0.25">
      <c r="A4" s="36" t="s">
        <v>17</v>
      </c>
      <c r="B4" s="73">
        <v>729</v>
      </c>
      <c r="C4" s="38" t="s">
        <v>17</v>
      </c>
      <c r="D4" s="37">
        <v>269</v>
      </c>
    </row>
    <row r="5" spans="1:17" ht="15" customHeight="1" x14ac:dyDescent="0.25">
      <c r="A5" s="36" t="s">
        <v>22</v>
      </c>
      <c r="B5" s="73">
        <v>69</v>
      </c>
      <c r="C5" s="38" t="s">
        <v>19</v>
      </c>
      <c r="D5" s="37">
        <v>449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73">
        <v>1400</v>
      </c>
      <c r="C6" s="38" t="s">
        <v>23</v>
      </c>
      <c r="D6" s="37">
        <f>1007+503</f>
        <v>1510</v>
      </c>
      <c r="F6" s="45">
        <f>D20+B20</f>
        <v>0</v>
      </c>
      <c r="H6" s="45">
        <f>F2-F6</f>
        <v>63654</v>
      </c>
      <c r="P6" s="53"/>
      <c r="Q6" s="59"/>
    </row>
    <row r="7" spans="1:17" ht="15" customHeight="1" x14ac:dyDescent="0.25">
      <c r="A7" s="36" t="s">
        <v>26</v>
      </c>
      <c r="B7" s="73">
        <v>599</v>
      </c>
      <c r="C7" s="38" t="s">
        <v>25</v>
      </c>
      <c r="D7" s="37">
        <v>7000</v>
      </c>
      <c r="F7" s="48" t="e">
        <f>(F6-'[12]25e Oktober'!F6)/F6</f>
        <v>#REF!</v>
      </c>
      <c r="P7" s="53"/>
      <c r="Q7" s="59"/>
    </row>
    <row r="8" spans="1:17" x14ac:dyDescent="0.2">
      <c r="A8" s="36" t="s">
        <v>31</v>
      </c>
      <c r="B8" s="68">
        <v>343</v>
      </c>
      <c r="C8" s="38" t="s">
        <v>56</v>
      </c>
      <c r="D8" s="37">
        <f>160+(525-175)+368+886</f>
        <v>1764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385</v>
      </c>
      <c r="C9" s="38" t="s">
        <v>30</v>
      </c>
      <c r="D9" s="37">
        <v>1126</v>
      </c>
      <c r="F9" s="72" t="e">
        <f>F6-(('[7]25e Maj'!F6+'[8]25e Juni'!F6+'[9]25e Juli'!F6+'[10]25e Augusti'!F6+'[11]25e September'!F6+'[12]25e Oktober'!F6)/6)</f>
        <v>#REF!</v>
      </c>
      <c r="H9" s="45">
        <f>H6/2</f>
        <v>31827</v>
      </c>
      <c r="P9" s="53"/>
      <c r="Q9" s="59"/>
    </row>
    <row r="10" spans="1:17" ht="15" customHeight="1" x14ac:dyDescent="0.25">
      <c r="A10" s="36" t="s">
        <v>35</v>
      </c>
      <c r="B10" s="73">
        <v>375</v>
      </c>
      <c r="C10" s="38" t="s">
        <v>32</v>
      </c>
      <c r="D10" s="37">
        <v>479</v>
      </c>
      <c r="P10" s="53"/>
      <c r="Q10" s="59"/>
    </row>
    <row r="11" spans="1:17" ht="15" customHeight="1" x14ac:dyDescent="0.25">
      <c r="A11" s="36" t="s">
        <v>37</v>
      </c>
      <c r="B11" s="73">
        <v>2315</v>
      </c>
      <c r="C11" s="38" t="s">
        <v>35</v>
      </c>
      <c r="D11" s="37">
        <f>140+235</f>
        <v>375</v>
      </c>
      <c r="P11" s="53"/>
      <c r="Q11" s="59"/>
    </row>
    <row r="12" spans="1:17" ht="15" customHeight="1" x14ac:dyDescent="0.25">
      <c r="A12" s="36" t="s">
        <v>38</v>
      </c>
      <c r="B12" s="73">
        <v>58</v>
      </c>
      <c r="C12" s="1" t="s">
        <v>62</v>
      </c>
      <c r="D12" s="37">
        <v>628</v>
      </c>
      <c r="P12" s="53"/>
      <c r="Q12" s="59"/>
    </row>
    <row r="13" spans="1:17" ht="15" customHeight="1" x14ac:dyDescent="0.25">
      <c r="A13" s="36" t="s">
        <v>64</v>
      </c>
      <c r="B13" s="73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68">
        <v>13619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f>300+4700</f>
        <v>5000</v>
      </c>
      <c r="P15" s="53"/>
      <c r="Q15" s="59"/>
    </row>
    <row r="16" spans="1:17" ht="15" customHeight="1" x14ac:dyDescent="0.25">
      <c r="A16" s="36" t="s">
        <v>41</v>
      </c>
      <c r="B16" s="73">
        <v>1000</v>
      </c>
      <c r="C16" s="38" t="s">
        <v>68</v>
      </c>
      <c r="D16" s="37">
        <v>250</v>
      </c>
      <c r="O16" s="36"/>
    </row>
    <row r="17" spans="1:15" x14ac:dyDescent="0.2">
      <c r="A17" s="36" t="s">
        <v>18</v>
      </c>
      <c r="B17" s="68">
        <v>65</v>
      </c>
      <c r="O17" s="36"/>
    </row>
    <row r="18" spans="1:15" s="36" customFormat="1" x14ac:dyDescent="0.2">
      <c r="A18" s="36" t="s">
        <v>56</v>
      </c>
      <c r="B18" s="68">
        <v>0</v>
      </c>
      <c r="C18" s="38"/>
      <c r="D18" s="37"/>
    </row>
    <row r="19" spans="1:15" s="36" customFormat="1" x14ac:dyDescent="0.2">
      <c r="B19" s="68"/>
      <c r="C19" s="38"/>
      <c r="D19" s="37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customHeight="1" x14ac:dyDescent="0.25">
      <c r="A23" s="49" t="s">
        <v>42</v>
      </c>
      <c r="B23" s="73">
        <f>SUM(B3:B18)</f>
        <v>21302</v>
      </c>
      <c r="C23" s="49" t="s">
        <v>42</v>
      </c>
      <c r="D23" s="50">
        <f>SUM(D3:D16)</f>
        <v>19750</v>
      </c>
    </row>
    <row r="24" spans="1:15" s="36" customFormat="1" ht="15" customHeight="1" x14ac:dyDescent="0.2">
      <c r="A24" s="36" t="s">
        <v>58</v>
      </c>
      <c r="B24" s="68">
        <v>99</v>
      </c>
      <c r="C24" s="38" t="s">
        <v>44</v>
      </c>
      <c r="D24" s="37">
        <v>570</v>
      </c>
    </row>
    <row r="25" spans="1:15" s="36" customFormat="1" ht="15" customHeight="1" x14ac:dyDescent="0.2">
      <c r="A25" s="36" t="s">
        <v>67</v>
      </c>
      <c r="B25" s="68">
        <v>145</v>
      </c>
      <c r="C25" s="38" t="s">
        <v>56</v>
      </c>
      <c r="D25" s="37">
        <f>149+1200</f>
        <v>1349</v>
      </c>
    </row>
    <row r="26" spans="1:15" s="36" customFormat="1" ht="15" customHeight="1" x14ac:dyDescent="0.25">
      <c r="A26" s="36" t="s">
        <v>75</v>
      </c>
      <c r="B26" s="73">
        <f>804+1000+230+170+840</f>
        <v>3044</v>
      </c>
      <c r="C26" s="38"/>
      <c r="D26" s="37"/>
    </row>
    <row r="27" spans="1:15" s="36" customFormat="1" ht="15" x14ac:dyDescent="0.25">
      <c r="A27" s="36" t="s">
        <v>47</v>
      </c>
      <c r="B27" s="73">
        <v>900</v>
      </c>
      <c r="C27" s="38"/>
      <c r="D27" s="37"/>
    </row>
    <row r="28" spans="1:15" s="36" customFormat="1" ht="15" x14ac:dyDescent="0.25">
      <c r="A28" s="74" t="s">
        <v>72</v>
      </c>
      <c r="B28" s="75">
        <v>2000</v>
      </c>
      <c r="C28" s="60"/>
      <c r="I28" s="67"/>
      <c r="J28" s="63"/>
    </row>
    <row r="29" spans="1:15" s="36" customFormat="1" ht="15" x14ac:dyDescent="0.25">
      <c r="A29" s="74" t="s">
        <v>73</v>
      </c>
      <c r="B29" s="75">
        <v>3000</v>
      </c>
      <c r="C29" s="1"/>
      <c r="D29" s="37"/>
      <c r="H29" s="64"/>
      <c r="I29" s="63"/>
    </row>
    <row r="30" spans="1:15" s="36" customFormat="1" ht="15" customHeight="1" x14ac:dyDescent="0.2">
      <c r="B30" s="52"/>
      <c r="C30" s="38"/>
      <c r="D30" s="37"/>
    </row>
    <row r="31" spans="1:15" s="36" customFormat="1" x14ac:dyDescent="0.2">
      <c r="B31" s="52"/>
      <c r="C31" s="38"/>
      <c r="D31" s="37"/>
    </row>
    <row r="32" spans="1:15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25490</v>
      </c>
      <c r="C33" s="49" t="s">
        <v>51</v>
      </c>
      <c r="D33" s="50">
        <f>SUM(D21:D27)</f>
        <v>21669</v>
      </c>
      <c r="H33" s="51"/>
      <c r="I33" s="68"/>
      <c r="O33" s="53"/>
    </row>
    <row r="34" spans="1:15" x14ac:dyDescent="0.2">
      <c r="A34" s="36" t="s">
        <v>52</v>
      </c>
      <c r="B34" s="68">
        <f>H9-B30</f>
        <v>31827</v>
      </c>
      <c r="C34" s="38" t="s">
        <v>52</v>
      </c>
      <c r="D34" s="37">
        <f>H9-D30</f>
        <v>31827</v>
      </c>
    </row>
    <row r="35" spans="1:15" s="36" customFormat="1" ht="15" customHeight="1" x14ac:dyDescent="0.25">
      <c r="A35" s="47" t="s">
        <v>53</v>
      </c>
      <c r="B35" s="73">
        <f>(B2-B20)-B30</f>
        <v>26011</v>
      </c>
      <c r="C35" s="49" t="s">
        <v>53</v>
      </c>
      <c r="D35" s="50">
        <f>(D2-D20)-D30</f>
        <v>37643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D31-D32</f>
        <v>0</v>
      </c>
    </row>
    <row r="38" spans="1:15" ht="15" x14ac:dyDescent="0.25">
      <c r="A38" s="36" t="s">
        <v>55</v>
      </c>
      <c r="B38" s="73">
        <f>(B32-B33)+B30</f>
        <v>-25490</v>
      </c>
      <c r="C38" s="38" t="s">
        <v>55</v>
      </c>
      <c r="D38" s="50">
        <f>(D32-D33)+D30</f>
        <v>-21669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0" width="10.125" style="36" bestFit="1" customWidth="1"/>
    <col min="11" max="11" width="8.75" style="36" customWidth="1"/>
    <col min="12" max="12" width="4.75" style="36" bestFit="1" customWidth="1"/>
    <col min="13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v>22315</v>
      </c>
      <c r="C2" s="44" t="s">
        <v>14</v>
      </c>
      <c r="D2" s="43">
        <f>13770+2650+670</f>
        <v>17090</v>
      </c>
      <c r="F2" s="45">
        <f>B2+D2</f>
        <v>39405</v>
      </c>
    </row>
    <row r="3" spans="1:17" ht="15" customHeight="1" x14ac:dyDescent="0.25">
      <c r="A3" s="65" t="s">
        <v>70</v>
      </c>
      <c r="B3" s="71">
        <v>99</v>
      </c>
      <c r="C3" s="76" t="s">
        <v>76</v>
      </c>
      <c r="D3" s="66">
        <v>315</v>
      </c>
      <c r="F3" s="46" t="e">
        <f>(F2-'[1]25e November'!F2)/F2</f>
        <v>#REF!</v>
      </c>
    </row>
    <row r="4" spans="1:17" x14ac:dyDescent="0.2">
      <c r="A4" s="36" t="s">
        <v>17</v>
      </c>
      <c r="B4" s="68">
        <v>729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416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f>1007+503</f>
        <v>1510</v>
      </c>
      <c r="F6" s="45">
        <f>D20+B20</f>
        <v>0</v>
      </c>
      <c r="H6" s="45">
        <f>F2-F6</f>
        <v>39405</v>
      </c>
      <c r="P6" s="53"/>
      <c r="Q6" s="59"/>
    </row>
    <row r="7" spans="1:17" ht="15" customHeight="1" x14ac:dyDescent="0.25">
      <c r="A7" s="36" t="s">
        <v>26</v>
      </c>
      <c r="B7" s="68">
        <v>583</v>
      </c>
      <c r="C7" s="38" t="s">
        <v>25</v>
      </c>
      <c r="D7" s="37">
        <v>7000</v>
      </c>
      <c r="F7" s="48" t="e">
        <f>(F6-'25e November 2021'!F6)/F6</f>
        <v>#DIV/0!</v>
      </c>
      <c r="P7" s="53"/>
      <c r="Q7" s="59"/>
    </row>
    <row r="8" spans="1:17" x14ac:dyDescent="0.2">
      <c r="A8" s="36" t="s">
        <v>31</v>
      </c>
      <c r="B8" s="68">
        <v>343</v>
      </c>
      <c r="C8" s="38" t="s">
        <v>56</v>
      </c>
      <c r="D8" s="37">
        <f>200+100+530+1150</f>
        <v>1980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385</v>
      </c>
      <c r="C9" s="38" t="s">
        <v>30</v>
      </c>
      <c r="D9" s="37">
        <v>0</v>
      </c>
      <c r="F9" s="72" t="e">
        <f>F6-(('[7]25e Maj'!F6+'[8]25e Juni'!F6+'[9]25e Juli'!F6+'[10]25e Augusti'!F6+'[11]25e September'!F6+'[12]25e Oktober'!F6)/6)</f>
        <v>#REF!</v>
      </c>
      <c r="H9" s="45">
        <f>H6/2</f>
        <v>19702.5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x14ac:dyDescent="0.2">
      <c r="A11" s="36" t="s">
        <v>37</v>
      </c>
      <c r="B11" s="68">
        <v>855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v>215</v>
      </c>
      <c r="C12" s="1" t="s">
        <v>62</v>
      </c>
      <c r="D12" s="37">
        <v>625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68">
        <v>13629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v>0</v>
      </c>
      <c r="P15" s="53"/>
      <c r="Q15" s="59"/>
    </row>
    <row r="16" spans="1:17" ht="15" customHeight="1" x14ac:dyDescent="0.25">
      <c r="A16" s="36" t="s">
        <v>41</v>
      </c>
      <c r="B16" s="68">
        <v>0</v>
      </c>
      <c r="C16" s="38" t="s">
        <v>68</v>
      </c>
      <c r="D16" s="37">
        <v>0</v>
      </c>
      <c r="L16" s="45"/>
      <c r="O16" s="36"/>
    </row>
    <row r="17" spans="1:15" x14ac:dyDescent="0.2">
      <c r="A17" s="36" t="s">
        <v>18</v>
      </c>
      <c r="B17" s="68">
        <v>65</v>
      </c>
      <c r="O17" s="36"/>
    </row>
    <row r="18" spans="1:15" s="36" customFormat="1" x14ac:dyDescent="0.2">
      <c r="A18" s="36" t="s">
        <v>56</v>
      </c>
      <c r="B18" s="68">
        <f>429+360+200+160</f>
        <v>1149</v>
      </c>
      <c r="C18" s="38"/>
      <c r="D18" s="37"/>
    </row>
    <row r="19" spans="1:15" s="36" customFormat="1" x14ac:dyDescent="0.2">
      <c r="B19" s="68"/>
      <c r="C19" s="38"/>
      <c r="D19" s="37"/>
      <c r="J19" s="8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SUM(B3:B18)</f>
        <v>20142</v>
      </c>
      <c r="C23" s="49" t="s">
        <v>42</v>
      </c>
      <c r="D23" s="50">
        <f>SUM(D3:D16)</f>
        <v>13869</v>
      </c>
    </row>
    <row r="24" spans="1:15" s="36" customFormat="1" x14ac:dyDescent="0.2">
      <c r="A24" s="36" t="s">
        <v>58</v>
      </c>
      <c r="B24" s="68">
        <v>99</v>
      </c>
      <c r="C24" s="38" t="s">
        <v>44</v>
      </c>
      <c r="D24" s="37">
        <v>570</v>
      </c>
      <c r="J24" s="8"/>
    </row>
    <row r="25" spans="1:15" s="36" customFormat="1" ht="15" customHeight="1" x14ac:dyDescent="0.2">
      <c r="A25" s="36" t="s">
        <v>67</v>
      </c>
      <c r="B25" s="68">
        <v>145</v>
      </c>
      <c r="C25" s="38" t="s">
        <v>56</v>
      </c>
      <c r="D25" s="37">
        <v>0</v>
      </c>
    </row>
    <row r="26" spans="1:15" s="36" customFormat="1" ht="15" customHeight="1" x14ac:dyDescent="0.2">
      <c r="A26" s="36" t="s">
        <v>75</v>
      </c>
      <c r="B26" s="68">
        <v>807</v>
      </c>
      <c r="C26" s="38"/>
      <c r="D26" s="37"/>
    </row>
    <row r="27" spans="1:15" s="36" customFormat="1" x14ac:dyDescent="0.2">
      <c r="A27" s="36" t="s">
        <v>47</v>
      </c>
      <c r="B27" s="68">
        <v>840</v>
      </c>
      <c r="C27" s="38"/>
      <c r="D27" s="37"/>
    </row>
    <row r="28" spans="1:15" s="36" customFormat="1" ht="15" x14ac:dyDescent="0.25">
      <c r="A28" s="74" t="s">
        <v>72</v>
      </c>
      <c r="B28" s="75">
        <v>0</v>
      </c>
      <c r="C28" s="60"/>
      <c r="I28" s="67"/>
      <c r="J28" s="63"/>
    </row>
    <row r="29" spans="1:15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5" s="36" customFormat="1" ht="15" customHeight="1" x14ac:dyDescent="0.2">
      <c r="B30" s="52"/>
      <c r="C30" s="38"/>
      <c r="D30" s="37"/>
    </row>
    <row r="31" spans="1:15" s="36" customFormat="1" x14ac:dyDescent="0.2">
      <c r="B31" s="52"/>
      <c r="C31" s="38"/>
      <c r="D31" s="37"/>
    </row>
    <row r="32" spans="1:15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22033</v>
      </c>
      <c r="C33" s="49" t="s">
        <v>51</v>
      </c>
      <c r="D33" s="50">
        <f>SUM(D21:D27)</f>
        <v>14439</v>
      </c>
      <c r="H33" s="51"/>
      <c r="I33" s="68"/>
      <c r="O33" s="53"/>
    </row>
    <row r="34" spans="1:15" x14ac:dyDescent="0.2">
      <c r="A34" s="36" t="s">
        <v>52</v>
      </c>
      <c r="B34" s="68">
        <f>H9-B30</f>
        <v>19702.5</v>
      </c>
      <c r="C34" s="38" t="s">
        <v>52</v>
      </c>
      <c r="D34" s="37">
        <f>H9-D30</f>
        <v>19702.5</v>
      </c>
    </row>
    <row r="35" spans="1:15" s="36" customFormat="1" ht="15" customHeight="1" x14ac:dyDescent="0.25">
      <c r="A35" s="47" t="s">
        <v>53</v>
      </c>
      <c r="B35" s="73">
        <f>(B2-B20)-B30</f>
        <v>22315</v>
      </c>
      <c r="C35" s="49" t="s">
        <v>53</v>
      </c>
      <c r="D35" s="50">
        <f>(D2-D20)-D30</f>
        <v>17090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D31-D32</f>
        <v>0</v>
      </c>
    </row>
    <row r="38" spans="1:15" ht="15" x14ac:dyDescent="0.25">
      <c r="A38" s="36" t="s">
        <v>55</v>
      </c>
      <c r="B38" s="73">
        <f>(B32-B33)+B30</f>
        <v>-22033</v>
      </c>
      <c r="C38" s="38" t="s">
        <v>55</v>
      </c>
      <c r="D38" s="50">
        <f>(D32-D33)+D30</f>
        <v>-14439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0" width="10.125" style="36" bestFit="1" customWidth="1"/>
    <col min="11" max="11" width="8.75" style="36" customWidth="1"/>
    <col min="12" max="12" width="4.75" style="36" bestFit="1" customWidth="1"/>
    <col min="13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f>20392+4469</f>
        <v>24861</v>
      </c>
      <c r="C2" s="44" t="s">
        <v>14</v>
      </c>
      <c r="D2" s="43">
        <f>2650+8198+2400+600+6300</f>
        <v>20148</v>
      </c>
      <c r="F2" s="45">
        <f>B2+D2</f>
        <v>45009</v>
      </c>
    </row>
    <row r="3" spans="1:17" ht="15" customHeight="1" x14ac:dyDescent="0.25">
      <c r="A3" s="65" t="s">
        <v>70</v>
      </c>
      <c r="B3" s="71">
        <v>99</v>
      </c>
      <c r="C3" s="76" t="s">
        <v>76</v>
      </c>
      <c r="D3" s="66">
        <v>0</v>
      </c>
      <c r="F3" s="48">
        <f>(F2-'25e December 2021'!F2)/F2</f>
        <v>0.12450843164700394</v>
      </c>
    </row>
    <row r="4" spans="1:17" x14ac:dyDescent="0.2">
      <c r="A4" s="36" t="s">
        <v>17</v>
      </c>
      <c r="B4" s="68">
        <v>729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482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f>1007+503</f>
        <v>1510</v>
      </c>
      <c r="F6" s="45">
        <f>D20+B20</f>
        <v>0</v>
      </c>
      <c r="H6" s="45">
        <f>F2-F6</f>
        <v>45009</v>
      </c>
      <c r="P6" s="53"/>
      <c r="Q6" s="59"/>
    </row>
    <row r="7" spans="1:17" ht="15" customHeight="1" x14ac:dyDescent="0.25">
      <c r="A7" s="36" t="s">
        <v>26</v>
      </c>
      <c r="B7" s="68">
        <v>0</v>
      </c>
      <c r="C7" s="38" t="s">
        <v>25</v>
      </c>
      <c r="D7" s="37">
        <v>6500</v>
      </c>
      <c r="F7" s="46" t="e">
        <f>(F6-'25e December 2021'!F6)/F6</f>
        <v>#DIV/0!</v>
      </c>
      <c r="P7" s="53"/>
      <c r="Q7" s="59"/>
    </row>
    <row r="8" spans="1:17" x14ac:dyDescent="0.2">
      <c r="A8" s="36" t="s">
        <v>31</v>
      </c>
      <c r="B8" s="68">
        <v>343</v>
      </c>
      <c r="C8" s="38" t="s">
        <v>56</v>
      </c>
      <c r="D8" s="37">
        <f>1095+1009+292+6000</f>
        <v>8396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385</v>
      </c>
      <c r="C9" s="38" t="s">
        <v>30</v>
      </c>
      <c r="D9" s="37">
        <v>0</v>
      </c>
      <c r="F9" s="72" t="e">
        <f>F6-(('[7]25e Maj'!F6+'[8]25e Juni'!F6+'[9]25e Juli'!F6+'[10]25e Augusti'!F6+'[11]25e September'!F6+'[12]25e Oktober'!F6)/6)</f>
        <v>#REF!</v>
      </c>
      <c r="H9" s="45">
        <f>H6/2</f>
        <v>22504.5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x14ac:dyDescent="0.2">
      <c r="A11" s="36" t="s">
        <v>37</v>
      </c>
      <c r="B11" s="68">
        <v>1619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v>466</v>
      </c>
      <c r="C12" s="1" t="s">
        <v>62</v>
      </c>
      <c r="D12" s="37">
        <v>631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68">
        <v>13744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v>0</v>
      </c>
      <c r="P15" s="53"/>
      <c r="Q15" s="59"/>
    </row>
    <row r="16" spans="1:17" ht="15" customHeight="1" x14ac:dyDescent="0.25">
      <c r="A16" s="36" t="s">
        <v>41</v>
      </c>
      <c r="B16" s="68">
        <v>0</v>
      </c>
      <c r="C16" s="38" t="s">
        <v>68</v>
      </c>
      <c r="D16" s="37">
        <v>0</v>
      </c>
      <c r="L16" s="45"/>
      <c r="O16" s="36"/>
    </row>
    <row r="17" spans="1:15" x14ac:dyDescent="0.2">
      <c r="A17" s="36" t="s">
        <v>18</v>
      </c>
      <c r="B17" s="68">
        <v>65</v>
      </c>
      <c r="O17" s="36"/>
    </row>
    <row r="18" spans="1:15" s="36" customFormat="1" x14ac:dyDescent="0.2">
      <c r="A18" s="36" t="s">
        <v>56</v>
      </c>
      <c r="B18" s="68">
        <f>300</f>
        <v>300</v>
      </c>
      <c r="C18" s="38"/>
      <c r="D18" s="37"/>
    </row>
    <row r="19" spans="1:15" s="36" customFormat="1" x14ac:dyDescent="0.2">
      <c r="B19" s="68"/>
      <c r="C19" s="38"/>
      <c r="D19" s="37"/>
      <c r="J19" s="8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SUM(B3:B18)</f>
        <v>19840</v>
      </c>
      <c r="C23" s="49" t="s">
        <v>42</v>
      </c>
      <c r="D23" s="50">
        <f>SUM(D3:D16)</f>
        <v>19542</v>
      </c>
      <c r="I23" s="36">
        <f>F2/2</f>
        <v>22504.5</v>
      </c>
    </row>
    <row r="24" spans="1:15" s="36" customFormat="1" x14ac:dyDescent="0.2">
      <c r="A24" s="36" t="s">
        <v>58</v>
      </c>
      <c r="B24" s="68">
        <v>99</v>
      </c>
      <c r="C24" s="38" t="s">
        <v>44</v>
      </c>
      <c r="D24" s="37">
        <v>570</v>
      </c>
      <c r="H24" s="36" t="s">
        <v>77</v>
      </c>
      <c r="I24" s="36">
        <f>B2-B20</f>
        <v>24861</v>
      </c>
      <c r="J24" s="79">
        <f>I24-I21</f>
        <v>24861</v>
      </c>
    </row>
    <row r="25" spans="1:15" s="36" customFormat="1" ht="15" customHeight="1" x14ac:dyDescent="0.2">
      <c r="A25" s="36" t="s">
        <v>67</v>
      </c>
      <c r="B25" s="68">
        <v>0</v>
      </c>
      <c r="C25" s="38" t="s">
        <v>56</v>
      </c>
      <c r="D25" s="37">
        <v>0</v>
      </c>
      <c r="H25" s="36" t="s">
        <v>78</v>
      </c>
      <c r="I25" s="9">
        <f>D2-D20</f>
        <v>20148</v>
      </c>
      <c r="J25" s="36">
        <f>I24-I22</f>
        <v>24861</v>
      </c>
    </row>
    <row r="26" spans="1:15" s="36" customFormat="1" ht="15" customHeight="1" x14ac:dyDescent="0.2">
      <c r="A26" s="36" t="s">
        <v>75</v>
      </c>
      <c r="B26" s="68">
        <v>807</v>
      </c>
      <c r="C26" s="38"/>
      <c r="D26" s="37"/>
      <c r="H26" s="36" t="s">
        <v>79</v>
      </c>
      <c r="I26" s="36">
        <f>I21+I22</f>
        <v>0</v>
      </c>
    </row>
    <row r="27" spans="1:15" s="36" customFormat="1" x14ac:dyDescent="0.2">
      <c r="A27" s="36" t="s">
        <v>47</v>
      </c>
      <c r="B27" s="68">
        <v>0</v>
      </c>
      <c r="C27" s="38"/>
      <c r="D27" s="37"/>
      <c r="H27" s="36" t="s">
        <v>80</v>
      </c>
      <c r="I27" s="36">
        <f>I23/2</f>
        <v>11252.25</v>
      </c>
    </row>
    <row r="28" spans="1:15" s="36" customFormat="1" ht="15" x14ac:dyDescent="0.25">
      <c r="A28" s="74" t="s">
        <v>72</v>
      </c>
      <c r="B28" s="75">
        <v>0</v>
      </c>
      <c r="C28" s="60"/>
      <c r="I28" s="67"/>
      <c r="J28" s="63"/>
    </row>
    <row r="29" spans="1:15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5" s="36" customFormat="1" ht="15" customHeight="1" x14ac:dyDescent="0.2">
      <c r="B30" s="52"/>
      <c r="C30" s="38"/>
      <c r="D30" s="37"/>
    </row>
    <row r="31" spans="1:15" s="36" customFormat="1" x14ac:dyDescent="0.2">
      <c r="B31" s="52"/>
      <c r="C31" s="38"/>
      <c r="D31" s="37"/>
    </row>
    <row r="32" spans="1:15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20746</v>
      </c>
      <c r="C33" s="49" t="s">
        <v>51</v>
      </c>
      <c r="D33" s="50">
        <f>SUM(D21:D27)</f>
        <v>20112</v>
      </c>
      <c r="H33" s="51"/>
      <c r="I33" s="68"/>
      <c r="O33" s="53"/>
    </row>
    <row r="34" spans="1:15" x14ac:dyDescent="0.2">
      <c r="A34" s="36" t="s">
        <v>52</v>
      </c>
      <c r="B34" s="68">
        <f>H9-B30</f>
        <v>22504.5</v>
      </c>
      <c r="C34" s="38" t="s">
        <v>52</v>
      </c>
      <c r="D34" s="37">
        <f>H9-D30</f>
        <v>22504.5</v>
      </c>
    </row>
    <row r="35" spans="1:15" s="36" customFormat="1" ht="15" customHeight="1" x14ac:dyDescent="0.25">
      <c r="A35" s="47" t="s">
        <v>53</v>
      </c>
      <c r="B35" s="73">
        <f>(B2-B20)-B30</f>
        <v>24861</v>
      </c>
      <c r="C35" s="49" t="s">
        <v>53</v>
      </c>
      <c r="D35" s="50">
        <f>(D2-D20)-D30</f>
        <v>20148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D31-D32</f>
        <v>0</v>
      </c>
    </row>
    <row r="38" spans="1:15" ht="15" x14ac:dyDescent="0.25">
      <c r="A38" s="36" t="s">
        <v>55</v>
      </c>
      <c r="B38" s="73">
        <f>(B32-B33)+B30</f>
        <v>-20746</v>
      </c>
      <c r="C38" s="38" t="s">
        <v>55</v>
      </c>
      <c r="D38" s="50">
        <f>(D32-D33)+D30</f>
        <v>-20112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0" width="10.125" style="36" bestFit="1" customWidth="1"/>
    <col min="11" max="11" width="8.75" style="36" customWidth="1"/>
    <col min="12" max="12" width="4.75" style="36" bestFit="1" customWidth="1"/>
    <col min="13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f>567+24569</f>
        <v>25136</v>
      </c>
      <c r="C2" s="44" t="s">
        <v>14</v>
      </c>
      <c r="D2" s="43">
        <v>18630</v>
      </c>
      <c r="F2" s="45">
        <f>B2+D2</f>
        <v>43766</v>
      </c>
    </row>
    <row r="3" spans="1:17" ht="15" customHeight="1" x14ac:dyDescent="0.25">
      <c r="A3" s="65" t="s">
        <v>70</v>
      </c>
      <c r="B3" s="71">
        <v>99</v>
      </c>
      <c r="C3" s="76" t="s">
        <v>76</v>
      </c>
      <c r="D3" s="66">
        <v>0</v>
      </c>
      <c r="F3" s="46">
        <f>(F2-'25e Januari 2022'!F2)/F2</f>
        <v>-2.8401041904674861E-2</v>
      </c>
    </row>
    <row r="4" spans="1:17" x14ac:dyDescent="0.2">
      <c r="A4" s="36" t="s">
        <v>17</v>
      </c>
      <c r="B4" s="68">
        <v>729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494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f>1007+503</f>
        <v>1510</v>
      </c>
      <c r="F6" s="45">
        <f>D20+B20</f>
        <v>0</v>
      </c>
      <c r="H6" s="45">
        <f>F2-F6</f>
        <v>43766</v>
      </c>
      <c r="P6" s="53"/>
      <c r="Q6" s="59"/>
    </row>
    <row r="7" spans="1:17" ht="15" customHeight="1" x14ac:dyDescent="0.25">
      <c r="A7" s="36" t="s">
        <v>26</v>
      </c>
      <c r="B7" s="68">
        <v>585</v>
      </c>
      <c r="C7" s="38" t="s">
        <v>25</v>
      </c>
      <c r="D7" s="37">
        <v>6500</v>
      </c>
      <c r="F7" s="48" t="e">
        <f>(F6-'25e Januari 2022'!F6)/F6</f>
        <v>#DIV/0!</v>
      </c>
      <c r="P7" s="53"/>
      <c r="Q7" s="59"/>
    </row>
    <row r="8" spans="1:17" x14ac:dyDescent="0.2">
      <c r="A8" s="36" t="s">
        <v>31</v>
      </c>
      <c r="B8" s="68">
        <v>358</v>
      </c>
      <c r="C8" s="38" t="s">
        <v>56</v>
      </c>
      <c r="D8" s="37">
        <f>4120+600+520</f>
        <v>5240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429</v>
      </c>
      <c r="C9" s="38" t="s">
        <v>30</v>
      </c>
      <c r="D9" s="37">
        <v>1030</v>
      </c>
      <c r="F9" s="72" t="e">
        <f>F6-(('[7]25e Maj'!F6+'[8]25e Juni'!F6+'[9]25e Juli'!F6+'[10]25e Augusti'!F6+'[11]25e September'!F6+'[12]25e Oktober'!F6)/6)</f>
        <v>#REF!</v>
      </c>
      <c r="H9" s="45">
        <f>H6/2</f>
        <v>21883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x14ac:dyDescent="0.2">
      <c r="A11" s="36" t="s">
        <v>37</v>
      </c>
      <c r="B11" s="68">
        <v>0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v>61</v>
      </c>
      <c r="C12" s="1" t="s">
        <v>62</v>
      </c>
      <c r="D12" s="37">
        <v>631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81</v>
      </c>
      <c r="D13" s="37">
        <v>246</v>
      </c>
      <c r="P13" s="53"/>
      <c r="Q13" s="59"/>
    </row>
    <row r="14" spans="1:17" x14ac:dyDescent="0.2">
      <c r="A14" s="36" t="s">
        <v>39</v>
      </c>
      <c r="B14" s="68">
        <v>13781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v>0</v>
      </c>
      <c r="P15" s="53"/>
      <c r="Q15" s="59"/>
    </row>
    <row r="16" spans="1:17" ht="15" customHeight="1" x14ac:dyDescent="0.25">
      <c r="A16" s="36" t="s">
        <v>41</v>
      </c>
      <c r="B16" s="68">
        <v>0</v>
      </c>
      <c r="C16" s="38" t="s">
        <v>68</v>
      </c>
      <c r="D16" s="37">
        <v>0</v>
      </c>
      <c r="L16" s="45"/>
      <c r="O16" s="36"/>
    </row>
    <row r="17" spans="1:15" x14ac:dyDescent="0.2">
      <c r="A17" s="36" t="s">
        <v>18</v>
      </c>
      <c r="B17" s="68">
        <v>65</v>
      </c>
      <c r="O17" s="36"/>
    </row>
    <row r="18" spans="1:15" s="36" customFormat="1" x14ac:dyDescent="0.2">
      <c r="A18" s="36" t="s">
        <v>56</v>
      </c>
      <c r="B18" s="68">
        <v>0</v>
      </c>
      <c r="C18" s="38"/>
      <c r="D18" s="37"/>
    </row>
    <row r="19" spans="1:15" s="36" customFormat="1" x14ac:dyDescent="0.2">
      <c r="B19" s="68"/>
      <c r="C19" s="38"/>
      <c r="D19" s="37"/>
      <c r="J19" s="8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SUM(B3:B18)</f>
        <v>18197</v>
      </c>
      <c r="C23" s="49" t="s">
        <v>42</v>
      </c>
      <c r="D23" s="50">
        <f>SUM(D3:D16)</f>
        <v>16879</v>
      </c>
      <c r="I23" s="36">
        <f>F2/2</f>
        <v>21883</v>
      </c>
    </row>
    <row r="24" spans="1:15" s="36" customFormat="1" x14ac:dyDescent="0.2">
      <c r="A24" s="36" t="s">
        <v>58</v>
      </c>
      <c r="B24" s="68">
        <v>99</v>
      </c>
      <c r="C24" s="38" t="s">
        <v>44</v>
      </c>
      <c r="D24" s="37">
        <v>570</v>
      </c>
      <c r="H24" s="36" t="s">
        <v>77</v>
      </c>
      <c r="I24" s="36">
        <f>B2-B20</f>
        <v>25136</v>
      </c>
      <c r="J24" s="79">
        <f>I24-I21</f>
        <v>25136</v>
      </c>
    </row>
    <row r="25" spans="1:15" s="36" customFormat="1" ht="15" customHeight="1" x14ac:dyDescent="0.2">
      <c r="A25" s="36" t="s">
        <v>67</v>
      </c>
      <c r="B25" s="68">
        <v>0</v>
      </c>
      <c r="C25" s="38" t="s">
        <v>56</v>
      </c>
      <c r="D25" s="37">
        <v>0</v>
      </c>
      <c r="H25" s="36" t="s">
        <v>78</v>
      </c>
      <c r="I25" s="9">
        <f>D2-D20</f>
        <v>18630</v>
      </c>
      <c r="J25" s="36">
        <f>I24-I22</f>
        <v>25136</v>
      </c>
    </row>
    <row r="26" spans="1:15" s="36" customFormat="1" ht="15" customHeight="1" x14ac:dyDescent="0.2">
      <c r="A26" s="36" t="s">
        <v>75</v>
      </c>
      <c r="B26" s="68">
        <v>1614</v>
      </c>
      <c r="C26" s="38"/>
      <c r="D26" s="37"/>
      <c r="H26" s="36" t="s">
        <v>79</v>
      </c>
      <c r="I26" s="36">
        <f>I21+I22</f>
        <v>0</v>
      </c>
    </row>
    <row r="27" spans="1:15" s="36" customFormat="1" x14ac:dyDescent="0.2">
      <c r="A27" s="36" t="s">
        <v>47</v>
      </c>
      <c r="B27" s="68">
        <v>0</v>
      </c>
      <c r="C27" s="38"/>
      <c r="D27" s="37"/>
      <c r="H27" s="36" t="s">
        <v>80</v>
      </c>
      <c r="I27" s="36">
        <f>I23/2</f>
        <v>10941.5</v>
      </c>
    </row>
    <row r="28" spans="1:15" s="36" customFormat="1" ht="15" x14ac:dyDescent="0.25">
      <c r="A28" s="74" t="s">
        <v>72</v>
      </c>
      <c r="B28" s="75">
        <v>0</v>
      </c>
      <c r="C28" s="60"/>
      <c r="I28" s="67"/>
      <c r="J28" s="63"/>
    </row>
    <row r="29" spans="1:15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5" s="36" customFormat="1" ht="15" customHeight="1" x14ac:dyDescent="0.2">
      <c r="B30" s="52"/>
      <c r="C30" s="38"/>
      <c r="D30" s="37"/>
    </row>
    <row r="31" spans="1:15" s="36" customFormat="1" x14ac:dyDescent="0.2">
      <c r="B31" s="52"/>
      <c r="C31" s="38"/>
      <c r="D31" s="37"/>
    </row>
    <row r="32" spans="1:15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19910</v>
      </c>
      <c r="C33" s="49" t="s">
        <v>51</v>
      </c>
      <c r="D33" s="50">
        <f>SUM(D21:D27)</f>
        <v>17449</v>
      </c>
      <c r="H33" s="51"/>
      <c r="I33" s="68"/>
      <c r="O33" s="53"/>
    </row>
    <row r="34" spans="1:15" x14ac:dyDescent="0.2">
      <c r="A34" s="36" t="s">
        <v>52</v>
      </c>
      <c r="B34" s="68">
        <f>H9-B30</f>
        <v>21883</v>
      </c>
      <c r="C34" s="38" t="s">
        <v>52</v>
      </c>
      <c r="D34" s="37">
        <f>H9-D30</f>
        <v>21883</v>
      </c>
    </row>
    <row r="35" spans="1:15" s="36" customFormat="1" ht="15" customHeight="1" x14ac:dyDescent="0.25">
      <c r="A35" s="47" t="s">
        <v>53</v>
      </c>
      <c r="B35" s="73">
        <f>(B2-B20)-B30</f>
        <v>25136</v>
      </c>
      <c r="C35" s="49" t="s">
        <v>53</v>
      </c>
      <c r="D35" s="50">
        <f>(D2-D20)-D30</f>
        <v>18630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D31-D32</f>
        <v>0</v>
      </c>
    </row>
    <row r="38" spans="1:15" ht="15" x14ac:dyDescent="0.25">
      <c r="A38" s="36" t="s">
        <v>55</v>
      </c>
      <c r="B38" s="73">
        <f>(B32-B33)+B30</f>
        <v>-19910</v>
      </c>
      <c r="C38" s="38" t="s">
        <v>55</v>
      </c>
      <c r="D38" s="50">
        <f>(D32-D33)+D30</f>
        <v>-17449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0" width="10.125" style="36" bestFit="1" customWidth="1"/>
    <col min="11" max="11" width="8.75" style="36" customWidth="1"/>
    <col min="12" max="12" width="4.75" style="36" bestFit="1" customWidth="1"/>
    <col min="13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f>21824</f>
        <v>21824</v>
      </c>
      <c r="C2" s="44" t="s">
        <v>14</v>
      </c>
      <c r="D2" s="43">
        <f>6530+2650+12200</f>
        <v>21380</v>
      </c>
      <c r="F2" s="45">
        <f>B2+D2</f>
        <v>43204</v>
      </c>
    </row>
    <row r="3" spans="1:17" ht="15" customHeight="1" x14ac:dyDescent="0.25">
      <c r="A3" s="65" t="s">
        <v>70</v>
      </c>
      <c r="B3" s="71">
        <v>99</v>
      </c>
      <c r="C3" s="76" t="s">
        <v>76</v>
      </c>
      <c r="D3" s="66">
        <v>315</v>
      </c>
      <c r="F3" s="46">
        <f>(F2-'25e Februari 2022'!F2)/F2</f>
        <v>-1.3008054809739839E-2</v>
      </c>
    </row>
    <row r="4" spans="1:17" x14ac:dyDescent="0.2">
      <c r="A4" s="36" t="s">
        <v>17</v>
      </c>
      <c r="B4" s="68">
        <v>729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430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f>1130+566</f>
        <v>1696</v>
      </c>
      <c r="F6" s="45">
        <f>D20+B20</f>
        <v>0</v>
      </c>
      <c r="H6" s="45">
        <f>F2-F6</f>
        <v>43204</v>
      </c>
      <c r="P6" s="53"/>
      <c r="Q6" s="59"/>
    </row>
    <row r="7" spans="1:17" ht="15" customHeight="1" x14ac:dyDescent="0.25">
      <c r="A7" s="36" t="s">
        <v>26</v>
      </c>
      <c r="B7" s="68">
        <v>500</v>
      </c>
      <c r="C7" s="38" t="s">
        <v>25</v>
      </c>
      <c r="D7" s="37">
        <v>6500</v>
      </c>
      <c r="F7" s="48" t="e">
        <f>(F6-'25e Februari 2022'!F6)/F6</f>
        <v>#DIV/0!</v>
      </c>
      <c r="P7" s="53"/>
      <c r="Q7" s="59"/>
    </row>
    <row r="8" spans="1:17" x14ac:dyDescent="0.2">
      <c r="A8" s="36" t="s">
        <v>31</v>
      </c>
      <c r="B8" s="68">
        <v>358</v>
      </c>
      <c r="C8" s="38" t="s">
        <v>56</v>
      </c>
      <c r="D8" s="37">
        <f>770+890+320+450+900+760</f>
        <v>4090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429</v>
      </c>
      <c r="C9" s="38" t="s">
        <v>30</v>
      </c>
      <c r="D9" s="37">
        <v>0</v>
      </c>
      <c r="F9" s="72" t="e">
        <f>F6-(('[7]25e Maj'!F6+'[8]25e Juni'!F6+'[9]25e Juli'!F6+'[10]25e Augusti'!F6+'[11]25e September'!F6+'[12]25e Oktober'!F6)/6)</f>
        <v>#REF!</v>
      </c>
      <c r="H9" s="45">
        <f>H6/2</f>
        <v>21602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x14ac:dyDescent="0.2">
      <c r="A11" s="36" t="s">
        <v>37</v>
      </c>
      <c r="B11" s="68">
        <v>1029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v>47</v>
      </c>
      <c r="C12" s="1" t="s">
        <v>62</v>
      </c>
      <c r="D12" s="37">
        <v>631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81</v>
      </c>
      <c r="D13" s="37">
        <v>246</v>
      </c>
      <c r="P13" s="53"/>
      <c r="Q13" s="59"/>
    </row>
    <row r="14" spans="1:17" x14ac:dyDescent="0.2">
      <c r="A14" s="36" t="s">
        <v>39</v>
      </c>
      <c r="B14" s="68">
        <v>13553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v>0</v>
      </c>
      <c r="P15" s="53"/>
      <c r="Q15" s="59"/>
    </row>
    <row r="16" spans="1:17" ht="15" customHeight="1" x14ac:dyDescent="0.25">
      <c r="A16" s="36" t="s">
        <v>41</v>
      </c>
      <c r="B16" s="68">
        <v>0</v>
      </c>
      <c r="C16" s="38" t="s">
        <v>68</v>
      </c>
      <c r="D16" s="37">
        <v>0</v>
      </c>
      <c r="L16" s="45"/>
      <c r="O16" s="36"/>
    </row>
    <row r="17" spans="1:15" x14ac:dyDescent="0.2">
      <c r="A17" s="36" t="s">
        <v>18</v>
      </c>
      <c r="B17" s="68">
        <v>65</v>
      </c>
      <c r="O17" s="36"/>
    </row>
    <row r="18" spans="1:15" s="36" customFormat="1" x14ac:dyDescent="0.2">
      <c r="A18" s="36" t="s">
        <v>56</v>
      </c>
      <c r="B18" s="68">
        <f>178+429</f>
        <v>607</v>
      </c>
      <c r="C18" s="38"/>
      <c r="D18" s="37"/>
    </row>
    <row r="19" spans="1:15" s="36" customFormat="1" x14ac:dyDescent="0.2">
      <c r="B19" s="68"/>
      <c r="C19" s="38"/>
      <c r="D19" s="37"/>
      <c r="J19" s="8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SUM(B3:B18)</f>
        <v>19506</v>
      </c>
      <c r="C23" s="49" t="s">
        <v>42</v>
      </c>
      <c r="D23" s="50">
        <f>SUM(D3:D16)</f>
        <v>15136</v>
      </c>
      <c r="I23" s="36">
        <f>F2/2</f>
        <v>21602</v>
      </c>
    </row>
    <row r="24" spans="1:15" s="36" customFormat="1" x14ac:dyDescent="0.2">
      <c r="A24" s="36" t="s">
        <v>58</v>
      </c>
      <c r="B24" s="68">
        <v>99</v>
      </c>
      <c r="C24" s="38" t="s">
        <v>44</v>
      </c>
      <c r="D24" s="37">
        <v>570</v>
      </c>
      <c r="H24" s="36" t="s">
        <v>77</v>
      </c>
      <c r="I24" s="36">
        <f>B2-B20</f>
        <v>21824</v>
      </c>
      <c r="J24" s="79">
        <f>I24-I21</f>
        <v>21824</v>
      </c>
    </row>
    <row r="25" spans="1:15" s="36" customFormat="1" ht="15" customHeight="1" x14ac:dyDescent="0.2">
      <c r="A25" s="36" t="s">
        <v>67</v>
      </c>
      <c r="B25" s="68">
        <v>0</v>
      </c>
      <c r="C25" s="38" t="s">
        <v>56</v>
      </c>
      <c r="D25" s="37">
        <v>0</v>
      </c>
      <c r="H25" s="36" t="s">
        <v>78</v>
      </c>
      <c r="I25" s="9">
        <f>D2-D20</f>
        <v>21380</v>
      </c>
      <c r="J25" s="36">
        <f>I24-I22</f>
        <v>21824</v>
      </c>
    </row>
    <row r="26" spans="1:15" s="36" customFormat="1" ht="15" customHeight="1" x14ac:dyDescent="0.2">
      <c r="A26" s="36" t="s">
        <v>75</v>
      </c>
      <c r="B26" s="68">
        <v>807</v>
      </c>
      <c r="C26" s="38"/>
      <c r="D26" s="37"/>
      <c r="H26" s="36" t="s">
        <v>79</v>
      </c>
      <c r="I26" s="36">
        <f>I21+I22</f>
        <v>0</v>
      </c>
    </row>
    <row r="27" spans="1:15" s="36" customFormat="1" x14ac:dyDescent="0.2">
      <c r="A27" s="36" t="s">
        <v>47</v>
      </c>
      <c r="B27" s="68">
        <v>839</v>
      </c>
      <c r="C27" s="38"/>
      <c r="D27" s="37"/>
      <c r="H27" s="36" t="s">
        <v>80</v>
      </c>
      <c r="I27" s="36">
        <f>I23/2</f>
        <v>10801</v>
      </c>
    </row>
    <row r="28" spans="1:15" s="36" customFormat="1" ht="15" x14ac:dyDescent="0.25">
      <c r="A28" s="74" t="s">
        <v>72</v>
      </c>
      <c r="B28" s="75">
        <v>0</v>
      </c>
      <c r="C28" s="60"/>
      <c r="I28" s="67"/>
      <c r="J28" s="63"/>
    </row>
    <row r="29" spans="1:15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5" s="36" customFormat="1" ht="15" customHeight="1" x14ac:dyDescent="0.2">
      <c r="B30" s="52"/>
      <c r="C30" s="38"/>
      <c r="D30" s="37"/>
    </row>
    <row r="31" spans="1:15" s="36" customFormat="1" x14ac:dyDescent="0.2">
      <c r="B31" s="52"/>
      <c r="C31" s="38"/>
      <c r="D31" s="37"/>
    </row>
    <row r="32" spans="1:15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21251</v>
      </c>
      <c r="C33" s="49" t="s">
        <v>51</v>
      </c>
      <c r="D33" s="50">
        <f>SUM(D21:D27)</f>
        <v>15706</v>
      </c>
      <c r="H33" s="51"/>
      <c r="I33" s="68"/>
      <c r="O33" s="53"/>
    </row>
    <row r="34" spans="1:15" x14ac:dyDescent="0.2">
      <c r="A34" s="36" t="s">
        <v>52</v>
      </c>
      <c r="B34" s="68">
        <f>H9-B30</f>
        <v>21602</v>
      </c>
      <c r="C34" s="38" t="s">
        <v>52</v>
      </c>
      <c r="D34" s="37">
        <f>H9-D30</f>
        <v>21602</v>
      </c>
    </row>
    <row r="35" spans="1:15" s="36" customFormat="1" ht="15" customHeight="1" x14ac:dyDescent="0.25">
      <c r="A35" s="47" t="s">
        <v>53</v>
      </c>
      <c r="B35" s="73">
        <f>(B2-B20)-B30</f>
        <v>21824</v>
      </c>
      <c r="C35" s="49" t="s">
        <v>53</v>
      </c>
      <c r="D35" s="50">
        <f>(D2-D20)-D30</f>
        <v>21380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D31-D32</f>
        <v>0</v>
      </c>
    </row>
    <row r="38" spans="1:15" ht="15" x14ac:dyDescent="0.25">
      <c r="A38" s="36" t="s">
        <v>55</v>
      </c>
      <c r="B38" s="73">
        <f>(B32-B33)+B30</f>
        <v>-21251</v>
      </c>
      <c r="C38" s="38" t="s">
        <v>55</v>
      </c>
      <c r="D38" s="50">
        <f>(D32-D33)+D30</f>
        <v>-15706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38"/>
  <sheetViews>
    <sheetView workbookViewId="0">
      <selection activeCell="B18" sqref="B18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0" width="13.125" style="36" customWidth="1"/>
    <col min="11" max="11" width="8.75" style="36" customWidth="1"/>
    <col min="12" max="12" width="4.75" style="36" bestFit="1" customWidth="1"/>
    <col min="13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v>40400</v>
      </c>
      <c r="C2" s="44" t="s">
        <v>14</v>
      </c>
      <c r="D2" s="43">
        <f>2650+17749+4600+2712</f>
        <v>27711</v>
      </c>
      <c r="F2" s="45">
        <f>B2+D2</f>
        <v>68111</v>
      </c>
    </row>
    <row r="3" spans="1:17" ht="15" customHeight="1" x14ac:dyDescent="0.25">
      <c r="A3" s="65" t="s">
        <v>70</v>
      </c>
      <c r="B3" s="71">
        <v>99</v>
      </c>
      <c r="C3" s="76" t="s">
        <v>76</v>
      </c>
      <c r="D3" s="66">
        <v>0</v>
      </c>
      <c r="F3" s="48">
        <f>(F2-'25e Mars 2022'!F2)/F2</f>
        <v>0.3656824888784484</v>
      </c>
    </row>
    <row r="4" spans="1:17" x14ac:dyDescent="0.2">
      <c r="A4" s="36" t="s">
        <v>17</v>
      </c>
      <c r="B4" s="68">
        <v>729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444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f>1048+524</f>
        <v>1572</v>
      </c>
      <c r="F6" s="45">
        <f>D20+B20</f>
        <v>0</v>
      </c>
      <c r="H6" s="45">
        <f>F2-F6</f>
        <v>68111</v>
      </c>
      <c r="P6" s="53"/>
      <c r="Q6" s="59"/>
    </row>
    <row r="7" spans="1:17" ht="15" customHeight="1" x14ac:dyDescent="0.25">
      <c r="A7" s="36" t="s">
        <v>26</v>
      </c>
      <c r="B7" s="68">
        <v>630</v>
      </c>
      <c r="C7" s="38" t="s">
        <v>25</v>
      </c>
      <c r="D7" s="37">
        <v>6500</v>
      </c>
      <c r="F7" s="46" t="e">
        <f>(F6-'25e Mars 2022'!F6)/F6</f>
        <v>#DIV/0!</v>
      </c>
      <c r="P7" s="53"/>
      <c r="Q7" s="59"/>
    </row>
    <row r="8" spans="1:17" x14ac:dyDescent="0.2">
      <c r="A8" s="36" t="s">
        <v>31</v>
      </c>
      <c r="B8" s="68">
        <v>358</v>
      </c>
      <c r="C8" s="38" t="s">
        <v>56</v>
      </c>
      <c r="D8" s="37">
        <f>360+650+760</f>
        <v>1770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429</v>
      </c>
      <c r="C9" s="38" t="s">
        <v>30</v>
      </c>
      <c r="D9" s="37">
        <v>0</v>
      </c>
      <c r="F9" s="72" t="e">
        <f>F6-(('[7]25e Maj'!F6+'[8]25e Juni'!F6+'[9]25e Juli'!F6+'[10]25e Augusti'!F6+'[11]25e September'!F6+'[12]25e Oktober'!F6)/6)</f>
        <v>#REF!</v>
      </c>
      <c r="H9" s="45">
        <f>H6/2</f>
        <v>34055.5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x14ac:dyDescent="0.2">
      <c r="A11" s="36" t="s">
        <v>37</v>
      </c>
      <c r="B11" s="68">
        <v>2454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v>139</v>
      </c>
      <c r="C12" s="1" t="s">
        <v>62</v>
      </c>
      <c r="D12" s="37">
        <v>631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81</v>
      </c>
      <c r="D13" s="37">
        <v>246</v>
      </c>
      <c r="P13" s="53"/>
      <c r="Q13" s="59"/>
    </row>
    <row r="14" spans="1:17" x14ac:dyDescent="0.2">
      <c r="A14" s="36" t="s">
        <v>39</v>
      </c>
      <c r="B14" s="68">
        <v>13736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v>0</v>
      </c>
      <c r="P15" s="53"/>
      <c r="Q15" s="59"/>
    </row>
    <row r="16" spans="1:17" ht="15" customHeight="1" x14ac:dyDescent="0.25">
      <c r="A16" s="36" t="s">
        <v>18</v>
      </c>
      <c r="B16" s="68">
        <v>65</v>
      </c>
      <c r="C16" s="38" t="s">
        <v>68</v>
      </c>
      <c r="D16" s="37">
        <v>0</v>
      </c>
      <c r="L16" s="45"/>
      <c r="O16" s="36"/>
    </row>
    <row r="17" spans="1:10" x14ac:dyDescent="0.2">
      <c r="A17" s="36" t="s">
        <v>82</v>
      </c>
      <c r="B17" s="68">
        <v>2978</v>
      </c>
    </row>
    <row r="18" spans="1:10" s="36" customFormat="1" x14ac:dyDescent="0.2">
      <c r="A18" s="36" t="s">
        <v>56</v>
      </c>
      <c r="B18" s="68">
        <f>735</f>
        <v>735</v>
      </c>
      <c r="C18" s="38"/>
      <c r="D18" s="37"/>
    </row>
    <row r="19" spans="1:10" s="36" customFormat="1" x14ac:dyDescent="0.2">
      <c r="A19" s="36" t="s">
        <v>41</v>
      </c>
      <c r="B19" s="68">
        <v>1000</v>
      </c>
      <c r="C19" s="38"/>
      <c r="D19" s="37"/>
      <c r="J19" s="8"/>
    </row>
    <row r="20" spans="1:10" s="36" customFormat="1" ht="15" customHeight="1" x14ac:dyDescent="0.2"/>
    <row r="21" spans="1:10" s="36" customFormat="1" x14ac:dyDescent="0.2"/>
    <row r="22" spans="1:10" s="36" customFormat="1" x14ac:dyDescent="0.2"/>
    <row r="23" spans="1:10" s="36" customFormat="1" ht="15" x14ac:dyDescent="0.25">
      <c r="A23" s="49" t="s">
        <v>42</v>
      </c>
      <c r="B23" s="73">
        <f>SUM(B3:B19)</f>
        <v>25442</v>
      </c>
      <c r="C23" s="49" t="s">
        <v>42</v>
      </c>
      <c r="D23" s="50">
        <f>SUM(D3:D16)</f>
        <v>12391</v>
      </c>
      <c r="I23" s="68">
        <f>F2/2</f>
        <v>34055.5</v>
      </c>
    </row>
    <row r="24" spans="1:10" s="36" customFormat="1" x14ac:dyDescent="0.2">
      <c r="A24" s="36" t="s">
        <v>58</v>
      </c>
      <c r="B24" s="68">
        <v>99</v>
      </c>
      <c r="C24" s="38" t="s">
        <v>44</v>
      </c>
      <c r="D24" s="37">
        <v>570</v>
      </c>
      <c r="H24" s="36" t="s">
        <v>77</v>
      </c>
      <c r="I24" s="68">
        <f>B2-B20</f>
        <v>40400</v>
      </c>
      <c r="J24" s="68">
        <f>I24-I21</f>
        <v>40400</v>
      </c>
    </row>
    <row r="25" spans="1:10" s="36" customFormat="1" ht="15" customHeight="1" x14ac:dyDescent="0.2">
      <c r="A25" s="36" t="s">
        <v>67</v>
      </c>
      <c r="B25" s="68">
        <v>0</v>
      </c>
      <c r="C25" s="38" t="s">
        <v>56</v>
      </c>
      <c r="D25" s="37">
        <f>1031+133+120+170+433+454</f>
        <v>2341</v>
      </c>
      <c r="H25" s="36" t="s">
        <v>78</v>
      </c>
      <c r="I25" s="68">
        <f>D2-D20</f>
        <v>27711</v>
      </c>
      <c r="J25" s="68">
        <f>I24-I22</f>
        <v>40400</v>
      </c>
    </row>
    <row r="26" spans="1:10" s="36" customFormat="1" ht="15" customHeight="1" x14ac:dyDescent="0.2">
      <c r="A26" s="36" t="s">
        <v>75</v>
      </c>
      <c r="B26" s="68">
        <v>807</v>
      </c>
      <c r="C26" s="38"/>
      <c r="D26" s="37"/>
      <c r="H26" s="36" t="s">
        <v>79</v>
      </c>
      <c r="I26" s="68">
        <f>I21+I22</f>
        <v>0</v>
      </c>
    </row>
    <row r="27" spans="1:10" s="36" customFormat="1" x14ac:dyDescent="0.2">
      <c r="A27" s="36" t="s">
        <v>47</v>
      </c>
      <c r="B27" s="68">
        <v>880</v>
      </c>
      <c r="C27" s="38"/>
      <c r="D27" s="37"/>
      <c r="H27" s="36" t="s">
        <v>80</v>
      </c>
      <c r="I27" s="68">
        <f>I23/2</f>
        <v>17027.75</v>
      </c>
    </row>
    <row r="28" spans="1:10" s="36" customFormat="1" ht="15" x14ac:dyDescent="0.25">
      <c r="A28" s="74" t="s">
        <v>72</v>
      </c>
      <c r="B28" s="75">
        <v>2000</v>
      </c>
      <c r="C28" s="60"/>
      <c r="I28" s="67"/>
      <c r="J28" s="63"/>
    </row>
    <row r="29" spans="1:10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0" s="36" customFormat="1" ht="15" customHeight="1" x14ac:dyDescent="0.2">
      <c r="B30" s="52"/>
      <c r="C30" s="38"/>
      <c r="D30" s="37"/>
    </row>
    <row r="31" spans="1:10" s="36" customFormat="1" x14ac:dyDescent="0.2">
      <c r="B31" s="52"/>
      <c r="C31" s="38"/>
      <c r="D31" s="37"/>
    </row>
    <row r="32" spans="1:10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27228</v>
      </c>
      <c r="C33" s="49" t="s">
        <v>51</v>
      </c>
      <c r="D33" s="50">
        <f>SUM(D21:D27)</f>
        <v>15302</v>
      </c>
      <c r="H33" s="51"/>
      <c r="I33" s="68"/>
      <c r="O33" s="53"/>
    </row>
    <row r="34" spans="1:15" x14ac:dyDescent="0.2">
      <c r="A34" s="36" t="s">
        <v>52</v>
      </c>
      <c r="B34" s="68">
        <f>H9-B30</f>
        <v>34055.5</v>
      </c>
      <c r="C34" s="38" t="s">
        <v>52</v>
      </c>
      <c r="D34" s="37">
        <f>H9-D30</f>
        <v>34055.5</v>
      </c>
    </row>
    <row r="35" spans="1:15" s="36" customFormat="1" ht="15" customHeight="1" x14ac:dyDescent="0.25">
      <c r="A35" s="47" t="s">
        <v>53</v>
      </c>
      <c r="B35" s="73">
        <f>(B2-B20)-B30</f>
        <v>40400</v>
      </c>
      <c r="C35" s="49" t="s">
        <v>53</v>
      </c>
      <c r="D35" s="50">
        <f>(D2-D20)-D30</f>
        <v>27711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D31-D32</f>
        <v>0</v>
      </c>
    </row>
    <row r="38" spans="1:15" ht="15" x14ac:dyDescent="0.25">
      <c r="A38" s="36" t="s">
        <v>55</v>
      </c>
      <c r="B38" s="73">
        <f>(B32-B33)+B30</f>
        <v>-27228</v>
      </c>
      <c r="C38" s="38" t="s">
        <v>55</v>
      </c>
      <c r="D38" s="50">
        <f>(D32-D33)+D30</f>
        <v>-15302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workbookViewId="0">
      <selection activeCell="I28" sqref="I28"/>
    </sheetView>
  </sheetViews>
  <sheetFormatPr defaultRowHeight="14.25" x14ac:dyDescent="0.2"/>
  <cols>
    <col min="1" max="1" width="26.5" style="36" customWidth="1"/>
    <col min="2" max="2" width="12.375" style="37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024" width="8.75" style="36" customWidth="1"/>
  </cols>
  <sheetData>
    <row r="1" spans="1:8" ht="21.6" customHeight="1" x14ac:dyDescent="0.2">
      <c r="A1" s="39" t="s">
        <v>2</v>
      </c>
      <c r="B1" s="39"/>
      <c r="C1" s="40" t="s">
        <v>4</v>
      </c>
      <c r="D1" s="41"/>
      <c r="F1" s="36" t="s">
        <v>13</v>
      </c>
    </row>
    <row r="2" spans="1:8" ht="15" customHeight="1" x14ac:dyDescent="0.25">
      <c r="A2" s="42" t="s">
        <v>14</v>
      </c>
      <c r="B2" s="43">
        <v>26543</v>
      </c>
      <c r="C2" s="44" t="s">
        <v>14</v>
      </c>
      <c r="D2" s="43">
        <f>11880+2650+2500</f>
        <v>17030</v>
      </c>
      <c r="F2" s="45">
        <f>B2+D2</f>
        <v>43573</v>
      </c>
    </row>
    <row r="3" spans="1:8" ht="15" customHeight="1" x14ac:dyDescent="0.25">
      <c r="A3" s="36" t="s">
        <v>15</v>
      </c>
      <c r="B3" s="37">
        <v>349</v>
      </c>
      <c r="C3" s="38" t="s">
        <v>15</v>
      </c>
      <c r="D3" s="37">
        <v>299</v>
      </c>
      <c r="F3" s="46" t="e">
        <f>(F2-Sparande!#REF!)/F2</f>
        <v>#REF!</v>
      </c>
      <c r="G3" s="47" t="s">
        <v>16</v>
      </c>
    </row>
    <row r="4" spans="1:8" x14ac:dyDescent="0.2">
      <c r="A4" s="36" t="s">
        <v>17</v>
      </c>
      <c r="B4" s="37">
        <v>638</v>
      </c>
      <c r="C4" s="38" t="s">
        <v>17</v>
      </c>
      <c r="D4" s="37">
        <v>349</v>
      </c>
    </row>
    <row r="5" spans="1:8" x14ac:dyDescent="0.2">
      <c r="A5" s="36" t="s">
        <v>18</v>
      </c>
      <c r="B5" s="37">
        <v>69</v>
      </c>
      <c r="C5" s="38" t="s">
        <v>19</v>
      </c>
      <c r="D5" s="37">
        <v>443</v>
      </c>
      <c r="F5" s="36" t="s">
        <v>20</v>
      </c>
      <c r="H5" s="36" t="s">
        <v>21</v>
      </c>
    </row>
    <row r="6" spans="1:8" ht="15" customHeight="1" x14ac:dyDescent="0.25">
      <c r="A6" s="36" t="s">
        <v>22</v>
      </c>
      <c r="B6" s="37">
        <v>69</v>
      </c>
      <c r="C6" s="38" t="s">
        <v>23</v>
      </c>
      <c r="D6" s="37">
        <v>1141</v>
      </c>
      <c r="F6" s="45">
        <f>D20+B20</f>
        <v>0</v>
      </c>
      <c r="H6" s="45">
        <f>F2-F6</f>
        <v>43573</v>
      </c>
    </row>
    <row r="7" spans="1:8" ht="15" customHeight="1" x14ac:dyDescent="0.25">
      <c r="A7" s="36" t="s">
        <v>24</v>
      </c>
      <c r="B7" s="37">
        <v>1249</v>
      </c>
      <c r="C7" s="38" t="s">
        <v>25</v>
      </c>
      <c r="D7" s="37">
        <v>7000</v>
      </c>
      <c r="F7" s="48" t="e">
        <f>(F6-Sparande!#REF!)/F6</f>
        <v>#REF!</v>
      </c>
    </row>
    <row r="8" spans="1:8" x14ac:dyDescent="0.2">
      <c r="A8" s="36" t="s">
        <v>26</v>
      </c>
      <c r="B8" s="37">
        <v>590</v>
      </c>
      <c r="C8" s="38" t="s">
        <v>27</v>
      </c>
      <c r="D8" s="37">
        <v>627</v>
      </c>
      <c r="H8" s="36" t="s">
        <v>28</v>
      </c>
    </row>
    <row r="9" spans="1:8" ht="15" customHeight="1" x14ac:dyDescent="0.25">
      <c r="A9" s="36" t="s">
        <v>29</v>
      </c>
      <c r="B9" s="37">
        <v>695</v>
      </c>
      <c r="C9" s="38" t="s">
        <v>30</v>
      </c>
      <c r="D9" s="37">
        <v>1146</v>
      </c>
      <c r="H9" s="45">
        <f>H6/2</f>
        <v>21786.5</v>
      </c>
    </row>
    <row r="10" spans="1:8" x14ac:dyDescent="0.2">
      <c r="A10" s="36" t="s">
        <v>31</v>
      </c>
      <c r="B10" s="37">
        <v>343</v>
      </c>
      <c r="C10" s="38" t="s">
        <v>32</v>
      </c>
      <c r="D10" s="37">
        <v>768</v>
      </c>
    </row>
    <row r="11" spans="1:8" x14ac:dyDescent="0.2">
      <c r="A11" s="36" t="s">
        <v>33</v>
      </c>
      <c r="B11" s="37">
        <v>385</v>
      </c>
      <c r="C11" s="38" t="s">
        <v>34</v>
      </c>
      <c r="D11" s="37">
        <v>132</v>
      </c>
    </row>
    <row r="12" spans="1:8" x14ac:dyDescent="0.2">
      <c r="A12" s="36" t="s">
        <v>35</v>
      </c>
      <c r="B12" s="37">
        <f>235+170</f>
        <v>405</v>
      </c>
      <c r="C12" s="38" t="s">
        <v>36</v>
      </c>
      <c r="D12" s="37">
        <v>1000</v>
      </c>
    </row>
    <row r="13" spans="1:8" x14ac:dyDescent="0.2">
      <c r="A13" s="36" t="s">
        <v>37</v>
      </c>
      <c r="B13" s="37">
        <v>686</v>
      </c>
    </row>
    <row r="14" spans="1:8" x14ac:dyDescent="0.2">
      <c r="A14" s="36" t="s">
        <v>38</v>
      </c>
      <c r="B14" s="37">
        <v>189</v>
      </c>
    </row>
    <row r="15" spans="1:8" x14ac:dyDescent="0.2">
      <c r="A15" s="36" t="s">
        <v>39</v>
      </c>
      <c r="B15" s="37">
        <v>13431</v>
      </c>
    </row>
    <row r="16" spans="1:8" x14ac:dyDescent="0.2">
      <c r="A16" s="36" t="s">
        <v>40</v>
      </c>
      <c r="B16" s="37">
        <v>159</v>
      </c>
    </row>
    <row r="17" spans="1:8" x14ac:dyDescent="0.2">
      <c r="A17" s="36" t="s">
        <v>41</v>
      </c>
      <c r="B17" s="37">
        <v>1000</v>
      </c>
    </row>
    <row r="20" spans="1:8" ht="15" customHeight="1" x14ac:dyDescent="0.2"/>
    <row r="23" spans="1:8" ht="15" x14ac:dyDescent="0.25">
      <c r="A23" s="49" t="s">
        <v>42</v>
      </c>
      <c r="B23" s="50">
        <f>SUM(B3:B17)</f>
        <v>20257</v>
      </c>
      <c r="C23" s="49" t="s">
        <v>42</v>
      </c>
      <c r="D23" s="50">
        <f>SUM(D3:D12)</f>
        <v>12905</v>
      </c>
    </row>
    <row r="24" spans="1:8" x14ac:dyDescent="0.2">
      <c r="A24" s="36" t="s">
        <v>43</v>
      </c>
      <c r="B24" s="37">
        <v>99</v>
      </c>
      <c r="C24" s="38" t="s">
        <v>44</v>
      </c>
      <c r="D24" s="37">
        <v>570</v>
      </c>
    </row>
    <row r="25" spans="1:8" x14ac:dyDescent="0.2">
      <c r="A25" s="36" t="s">
        <v>45</v>
      </c>
      <c r="B25" s="37">
        <v>67</v>
      </c>
      <c r="C25" s="38" t="s">
        <v>46</v>
      </c>
      <c r="D25" s="37">
        <v>275</v>
      </c>
    </row>
    <row r="26" spans="1:8" x14ac:dyDescent="0.2">
      <c r="A26" s="36" t="s">
        <v>47</v>
      </c>
      <c r="B26" s="37">
        <v>770</v>
      </c>
      <c r="C26" s="38" t="s">
        <v>48</v>
      </c>
      <c r="D26" s="37">
        <v>800</v>
      </c>
    </row>
    <row r="27" spans="1:8" x14ac:dyDescent="0.2">
      <c r="A27" s="36" t="s">
        <v>49</v>
      </c>
      <c r="B27" s="37">
        <v>2000</v>
      </c>
    </row>
    <row r="28" spans="1:8" x14ac:dyDescent="0.2">
      <c r="A28" s="36" t="s">
        <v>48</v>
      </c>
      <c r="B28" s="37">
        <v>800</v>
      </c>
    </row>
    <row r="29" spans="1:8" ht="15" customHeight="1" x14ac:dyDescent="0.2">
      <c r="A29" s="36" t="s">
        <v>50</v>
      </c>
      <c r="B29" s="37">
        <f>35+40</f>
        <v>75</v>
      </c>
    </row>
    <row r="31" spans="1:8" ht="15" customHeight="1" x14ac:dyDescent="0.2"/>
    <row r="32" spans="1:8" ht="15" x14ac:dyDescent="0.25">
      <c r="A32" s="47" t="s">
        <v>51</v>
      </c>
      <c r="B32" s="50">
        <f>SUM(B21:B28)</f>
        <v>23993</v>
      </c>
      <c r="C32" s="49" t="s">
        <v>51</v>
      </c>
      <c r="D32" s="50">
        <f>SUM(D21:D28)</f>
        <v>14550</v>
      </c>
      <c r="H32" s="51"/>
    </row>
    <row r="33" spans="1:6" x14ac:dyDescent="0.2">
      <c r="A33" s="36" t="s">
        <v>52</v>
      </c>
      <c r="B33" s="37">
        <f>H9-B29</f>
        <v>21711.5</v>
      </c>
      <c r="C33" s="38" t="s">
        <v>52</v>
      </c>
      <c r="D33" s="37">
        <f>H9-D29</f>
        <v>21786.5</v>
      </c>
    </row>
    <row r="34" spans="1:6" ht="15" customHeight="1" x14ac:dyDescent="0.25">
      <c r="A34" s="47" t="s">
        <v>53</v>
      </c>
      <c r="B34" s="50">
        <f>B2-B20-B29</f>
        <v>26468</v>
      </c>
      <c r="C34" s="49" t="s">
        <v>53</v>
      </c>
      <c r="D34" s="50">
        <f>D2-D20-D29</f>
        <v>17030</v>
      </c>
      <c r="F34" s="51"/>
    </row>
    <row r="35" spans="1:6" x14ac:dyDescent="0.2">
      <c r="A35" s="36" t="s">
        <v>54</v>
      </c>
      <c r="B35" s="37">
        <f>B31-B30</f>
        <v>0</v>
      </c>
      <c r="C35" s="38" t="s">
        <v>54</v>
      </c>
      <c r="D35" s="37">
        <f>D31-D30</f>
        <v>0</v>
      </c>
    </row>
    <row r="37" spans="1:6" ht="15" x14ac:dyDescent="0.25">
      <c r="A37" s="36" t="s">
        <v>55</v>
      </c>
      <c r="B37" s="50">
        <f>(B31-B32)+B29</f>
        <v>-23918</v>
      </c>
      <c r="C37" s="38" t="s">
        <v>55</v>
      </c>
      <c r="D37" s="50">
        <f>(D31-D32)+D29</f>
        <v>-14550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0" width="13.125" style="36" customWidth="1"/>
    <col min="11" max="11" width="8.75" style="36" customWidth="1"/>
    <col min="12" max="12" width="4.75" style="36" bestFit="1" customWidth="1"/>
    <col min="13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f>21063+3024</f>
        <v>24087</v>
      </c>
      <c r="C2" s="44" t="s">
        <v>14</v>
      </c>
      <c r="D2" s="43">
        <f>2650+678+14850</f>
        <v>18178</v>
      </c>
      <c r="F2" s="45">
        <f>B2+D2</f>
        <v>42265</v>
      </c>
    </row>
    <row r="3" spans="1:17" ht="15" customHeight="1" x14ac:dyDescent="0.25">
      <c r="A3" s="65" t="s">
        <v>70</v>
      </c>
      <c r="B3" s="71">
        <v>99</v>
      </c>
      <c r="C3" s="76" t="s">
        <v>76</v>
      </c>
      <c r="D3" s="66">
        <v>0</v>
      </c>
      <c r="F3" s="46">
        <f>(F2-'25e April 2022'!F2)/F2</f>
        <v>-0.61152253637761744</v>
      </c>
    </row>
    <row r="4" spans="1:17" x14ac:dyDescent="0.2">
      <c r="A4" s="36" t="s">
        <v>17</v>
      </c>
      <c r="B4" s="68">
        <v>729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444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1800</v>
      </c>
      <c r="C6" s="38" t="s">
        <v>23</v>
      </c>
      <c r="D6" s="37">
        <f>1048+524</f>
        <v>1572</v>
      </c>
      <c r="F6" s="45">
        <f>D20+B20</f>
        <v>0</v>
      </c>
      <c r="H6" s="45">
        <f>F2-F6</f>
        <v>42265</v>
      </c>
      <c r="P6" s="53"/>
      <c r="Q6" s="59"/>
    </row>
    <row r="7" spans="1:17" ht="15" customHeight="1" x14ac:dyDescent="0.25">
      <c r="A7" s="36" t="s">
        <v>26</v>
      </c>
      <c r="B7" s="68">
        <v>613</v>
      </c>
      <c r="C7" s="38" t="s">
        <v>25</v>
      </c>
      <c r="D7" s="37">
        <v>7000</v>
      </c>
      <c r="F7" s="48" t="e">
        <f>(F6-'25e April 2022'!F6)/F6</f>
        <v>#DIV/0!</v>
      </c>
      <c r="P7" s="53"/>
      <c r="Q7" s="59"/>
    </row>
    <row r="8" spans="1:17" x14ac:dyDescent="0.2">
      <c r="A8" s="36" t="s">
        <v>31</v>
      </c>
      <c r="B8" s="68">
        <v>678</v>
      </c>
      <c r="C8" s="38" t="s">
        <v>56</v>
      </c>
      <c r="D8" s="37">
        <f>505+419+277+260+740+580</f>
        <v>2781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434</v>
      </c>
      <c r="C9" s="38" t="s">
        <v>30</v>
      </c>
      <c r="D9" s="37">
        <v>0</v>
      </c>
      <c r="F9" s="72" t="e">
        <f>F6-(('[7]25e Maj'!F6+'[8]25e Juni'!F6+'[9]25e Juli'!F6+'[10]25e Augusti'!F6+'[11]25e September'!F6+'[12]25e Oktober'!F6)/6)</f>
        <v>#REF!</v>
      </c>
      <c r="H9" s="45">
        <f>H6/2</f>
        <v>21132.5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x14ac:dyDescent="0.2">
      <c r="A11" s="36" t="s">
        <v>37</v>
      </c>
      <c r="B11" s="68">
        <v>1306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f>422+31</f>
        <v>453</v>
      </c>
      <c r="C12" s="1" t="s">
        <v>62</v>
      </c>
      <c r="D12" s="37">
        <v>631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81</v>
      </c>
      <c r="D13" s="37">
        <v>246</v>
      </c>
      <c r="P13" s="53"/>
      <c r="Q13" s="59"/>
    </row>
    <row r="14" spans="1:17" x14ac:dyDescent="0.2">
      <c r="A14" s="36" t="s">
        <v>39</v>
      </c>
      <c r="B14" s="68">
        <v>13714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v>0</v>
      </c>
      <c r="P15" s="53"/>
      <c r="Q15" s="59"/>
    </row>
    <row r="16" spans="1:17" ht="15" customHeight="1" x14ac:dyDescent="0.25">
      <c r="A16" s="36" t="s">
        <v>18</v>
      </c>
      <c r="B16" s="68">
        <v>65</v>
      </c>
      <c r="C16" s="38" t="s">
        <v>68</v>
      </c>
      <c r="D16" s="37">
        <v>0</v>
      </c>
      <c r="L16" s="45"/>
      <c r="O16" s="36"/>
    </row>
    <row r="17" spans="1:10" x14ac:dyDescent="0.2">
      <c r="A17" s="36" t="s">
        <v>82</v>
      </c>
      <c r="B17" s="68">
        <v>2266</v>
      </c>
    </row>
    <row r="18" spans="1:10" s="36" customFormat="1" x14ac:dyDescent="0.2">
      <c r="A18" s="36" t="s">
        <v>56</v>
      </c>
      <c r="B18" s="68">
        <f>149+28+4+13</f>
        <v>194</v>
      </c>
      <c r="C18" s="38"/>
      <c r="D18" s="37"/>
    </row>
    <row r="19" spans="1:10" s="36" customFormat="1" x14ac:dyDescent="0.2">
      <c r="A19" s="36" t="s">
        <v>41</v>
      </c>
      <c r="B19" s="68">
        <v>0</v>
      </c>
      <c r="C19" s="38"/>
      <c r="D19" s="37"/>
      <c r="J19" s="8"/>
    </row>
    <row r="20" spans="1:10" s="36" customFormat="1" ht="15" customHeight="1" x14ac:dyDescent="0.2"/>
    <row r="21" spans="1:10" s="36" customFormat="1" x14ac:dyDescent="0.2"/>
    <row r="22" spans="1:10" s="36" customFormat="1" x14ac:dyDescent="0.2"/>
    <row r="23" spans="1:10" s="36" customFormat="1" ht="15" x14ac:dyDescent="0.25">
      <c r="A23" s="49" t="s">
        <v>42</v>
      </c>
      <c r="B23" s="73">
        <f>SUM(B3:B19)</f>
        <v>23041</v>
      </c>
      <c r="C23" s="49" t="s">
        <v>42</v>
      </c>
      <c r="D23" s="50">
        <f>SUM(D3:D16)</f>
        <v>13902</v>
      </c>
      <c r="I23" s="68">
        <f>F2/2</f>
        <v>21132.5</v>
      </c>
    </row>
    <row r="24" spans="1:10" s="36" customFormat="1" x14ac:dyDescent="0.2">
      <c r="A24" s="36" t="s">
        <v>58</v>
      </c>
      <c r="B24" s="68">
        <v>99</v>
      </c>
      <c r="C24" s="38" t="s">
        <v>44</v>
      </c>
      <c r="D24" s="37">
        <v>570</v>
      </c>
      <c r="H24" s="36" t="s">
        <v>77</v>
      </c>
      <c r="I24" s="68">
        <f>B2-B20</f>
        <v>24087</v>
      </c>
      <c r="J24" s="68">
        <f>I24-I21</f>
        <v>24087</v>
      </c>
    </row>
    <row r="25" spans="1:10" s="36" customFormat="1" ht="15" customHeight="1" x14ac:dyDescent="0.2">
      <c r="A25" s="36" t="s">
        <v>83</v>
      </c>
      <c r="B25" s="68">
        <f>139+95</f>
        <v>234</v>
      </c>
      <c r="C25" s="38" t="s">
        <v>56</v>
      </c>
      <c r="D25" s="37">
        <v>0</v>
      </c>
      <c r="H25" s="36" t="s">
        <v>78</v>
      </c>
      <c r="I25" s="68">
        <f>D2-D20</f>
        <v>18178</v>
      </c>
      <c r="J25" s="68">
        <f>I24-I22</f>
        <v>24087</v>
      </c>
    </row>
    <row r="26" spans="1:10" s="36" customFormat="1" ht="15" customHeight="1" x14ac:dyDescent="0.2">
      <c r="A26" s="36" t="s">
        <v>75</v>
      </c>
      <c r="B26" s="68">
        <f>807+159+39+50+26+89+99+135+95</f>
        <v>1499</v>
      </c>
      <c r="C26" s="38"/>
      <c r="D26" s="37"/>
      <c r="H26" s="36" t="s">
        <v>79</v>
      </c>
      <c r="I26" s="68">
        <f>I21+I22</f>
        <v>0</v>
      </c>
    </row>
    <row r="27" spans="1:10" s="36" customFormat="1" x14ac:dyDescent="0.2">
      <c r="A27" s="36" t="s">
        <v>47</v>
      </c>
      <c r="B27" s="68">
        <v>800</v>
      </c>
      <c r="C27" s="38"/>
      <c r="D27" s="37"/>
      <c r="H27" s="36" t="s">
        <v>80</v>
      </c>
      <c r="I27" s="68">
        <f>I23/2</f>
        <v>10566.25</v>
      </c>
    </row>
    <row r="28" spans="1:10" s="36" customFormat="1" ht="15" x14ac:dyDescent="0.25">
      <c r="A28" s="74" t="s">
        <v>72</v>
      </c>
      <c r="B28" s="75">
        <v>0</v>
      </c>
      <c r="C28" s="60"/>
      <c r="I28" s="67"/>
      <c r="J28" s="63"/>
    </row>
    <row r="29" spans="1:10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0" s="36" customFormat="1" ht="15" customHeight="1" x14ac:dyDescent="0.2">
      <c r="B30" s="52"/>
      <c r="C30" s="38"/>
      <c r="D30" s="37"/>
    </row>
    <row r="31" spans="1:10" s="36" customFormat="1" x14ac:dyDescent="0.2">
      <c r="B31" s="52"/>
      <c r="C31" s="38"/>
      <c r="D31" s="37"/>
    </row>
    <row r="32" spans="1:10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25673</v>
      </c>
      <c r="C33" s="49" t="s">
        <v>51</v>
      </c>
      <c r="D33" s="50">
        <f>SUM(D21:D27)</f>
        <v>14472</v>
      </c>
      <c r="H33" s="51"/>
      <c r="I33" s="68"/>
      <c r="O33" s="53"/>
    </row>
    <row r="34" spans="1:15" x14ac:dyDescent="0.2">
      <c r="A34" s="36" t="s">
        <v>52</v>
      </c>
      <c r="B34" s="68">
        <f>H9-B30</f>
        <v>21132.5</v>
      </c>
      <c r="C34" s="38" t="s">
        <v>52</v>
      </c>
      <c r="D34" s="37">
        <f>H9-D30</f>
        <v>21132.5</v>
      </c>
    </row>
    <row r="35" spans="1:15" s="36" customFormat="1" ht="15" customHeight="1" x14ac:dyDescent="0.25">
      <c r="A35" s="47" t="s">
        <v>53</v>
      </c>
      <c r="B35" s="73">
        <f>(B2-B20)-B30</f>
        <v>24087</v>
      </c>
      <c r="C35" s="49" t="s">
        <v>53</v>
      </c>
      <c r="D35" s="50">
        <f>(D2-D20)-D30</f>
        <v>18178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D31-D32</f>
        <v>0</v>
      </c>
    </row>
    <row r="38" spans="1:15" ht="15" x14ac:dyDescent="0.25">
      <c r="A38" s="36" t="s">
        <v>55</v>
      </c>
      <c r="B38" s="73">
        <f>(B32-B33)+B30</f>
        <v>-25673</v>
      </c>
      <c r="C38" s="38" t="s">
        <v>55</v>
      </c>
      <c r="D38" s="50">
        <f>(D32-D33)+D30</f>
        <v>-14472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0" width="13.125" style="36" customWidth="1"/>
    <col min="11" max="11" width="8.75" style="36" customWidth="1"/>
    <col min="12" max="12" width="4.75" style="36" bestFit="1" customWidth="1"/>
    <col min="13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v>31326</v>
      </c>
      <c r="C2" s="44" t="s">
        <v>14</v>
      </c>
      <c r="D2" s="43">
        <f>19695+2650</f>
        <v>22345</v>
      </c>
      <c r="F2" s="45">
        <f>B2+D2</f>
        <v>53671</v>
      </c>
    </row>
    <row r="3" spans="1:17" ht="15" customHeight="1" x14ac:dyDescent="0.25">
      <c r="A3" s="65" t="s">
        <v>70</v>
      </c>
      <c r="B3" s="71">
        <v>99</v>
      </c>
      <c r="C3" s="76" t="s">
        <v>76</v>
      </c>
      <c r="D3" s="66">
        <v>315</v>
      </c>
      <c r="F3" s="48">
        <f>(F2-'25e Maj 2022'!F2)/F2</f>
        <v>0.21251700173277935</v>
      </c>
    </row>
    <row r="4" spans="1:17" x14ac:dyDescent="0.2">
      <c r="A4" s="36" t="s">
        <v>17</v>
      </c>
      <c r="B4" s="68">
        <v>729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f>291+144</f>
        <v>435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1800</v>
      </c>
      <c r="C6" s="38" t="s">
        <v>84</v>
      </c>
      <c r="D6" s="37">
        <f>1048+524</f>
        <v>1572</v>
      </c>
      <c r="F6" s="45">
        <f>D20+B20</f>
        <v>0</v>
      </c>
      <c r="H6" s="45">
        <f>F2-F6</f>
        <v>53671</v>
      </c>
      <c r="P6" s="53"/>
      <c r="Q6" s="59"/>
    </row>
    <row r="7" spans="1:17" ht="15" customHeight="1" x14ac:dyDescent="0.25">
      <c r="A7" s="36" t="s">
        <v>26</v>
      </c>
      <c r="B7" s="68">
        <v>597</v>
      </c>
      <c r="C7" s="38" t="s">
        <v>25</v>
      </c>
      <c r="D7" s="37">
        <v>7000</v>
      </c>
      <c r="F7" s="46" t="e">
        <f>(F6-'25e Maj 2022'!F6)/F6</f>
        <v>#DIV/0!</v>
      </c>
      <c r="P7" s="53"/>
      <c r="Q7" s="59"/>
    </row>
    <row r="8" spans="1:17" x14ac:dyDescent="0.2">
      <c r="A8" s="36" t="s">
        <v>31</v>
      </c>
      <c r="B8" s="68">
        <v>678</v>
      </c>
      <c r="C8" s="38" t="s">
        <v>56</v>
      </c>
      <c r="D8" s="37">
        <f>259+330+1250+320</f>
        <v>2159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434</v>
      </c>
      <c r="C9" s="38" t="s">
        <v>30</v>
      </c>
      <c r="D9" s="37">
        <v>1238</v>
      </c>
      <c r="F9" s="72" t="e">
        <f>F6-(('[7]25e Maj'!F6+'[8]25e Juni'!F6+'[9]25e Juli'!F6+'[10]25e Augusti'!F6+'[11]25e September'!F6+'[12]25e Oktober'!F6)/6)</f>
        <v>#REF!</v>
      </c>
      <c r="H9" s="45">
        <f>H6/2</f>
        <v>26835.5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x14ac:dyDescent="0.2">
      <c r="A11" s="36" t="s">
        <v>37</v>
      </c>
      <c r="B11" s="68">
        <v>2487</v>
      </c>
      <c r="C11" s="38" t="s">
        <v>35</v>
      </c>
      <c r="D11" s="37">
        <f>140+235</f>
        <v>375</v>
      </c>
      <c r="P11" s="53"/>
      <c r="Q11" s="59"/>
    </row>
    <row r="12" spans="1:17" x14ac:dyDescent="0.2">
      <c r="A12" s="36" t="s">
        <v>38</v>
      </c>
      <c r="B12" s="68">
        <v>255</v>
      </c>
      <c r="C12" s="1" t="s">
        <v>62</v>
      </c>
      <c r="D12" s="37">
        <v>631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81</v>
      </c>
      <c r="D13" s="37">
        <v>246</v>
      </c>
      <c r="P13" s="53"/>
      <c r="Q13" s="59"/>
    </row>
    <row r="14" spans="1:17" x14ac:dyDescent="0.2">
      <c r="A14" s="36" t="s">
        <v>39</v>
      </c>
      <c r="B14" s="68">
        <v>13811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v>0</v>
      </c>
      <c r="P15" s="53"/>
      <c r="Q15" s="59"/>
    </row>
    <row r="16" spans="1:17" ht="15" customHeight="1" x14ac:dyDescent="0.25">
      <c r="A16" s="36" t="s">
        <v>18</v>
      </c>
      <c r="B16" s="68">
        <v>65</v>
      </c>
      <c r="C16" s="38" t="s">
        <v>68</v>
      </c>
      <c r="D16" s="37">
        <v>0</v>
      </c>
      <c r="L16" s="45"/>
      <c r="O16" s="36"/>
    </row>
    <row r="17" spans="1:15" ht="15" customHeight="1" x14ac:dyDescent="0.25">
      <c r="A17" s="36" t="s">
        <v>82</v>
      </c>
      <c r="B17" s="68">
        <v>2312</v>
      </c>
      <c r="O17" s="80"/>
    </row>
    <row r="18" spans="1:15" s="36" customFormat="1" x14ac:dyDescent="0.2">
      <c r="A18" s="36" t="s">
        <v>56</v>
      </c>
      <c r="B18" s="68">
        <f>429+99+805</f>
        <v>1333</v>
      </c>
      <c r="C18" s="38"/>
      <c r="D18" s="37"/>
    </row>
    <row r="19" spans="1:15" s="36" customFormat="1" x14ac:dyDescent="0.2">
      <c r="A19" s="36" t="s">
        <v>41</v>
      </c>
      <c r="B19" s="68">
        <v>0</v>
      </c>
      <c r="C19" s="38"/>
      <c r="D19" s="37"/>
      <c r="J19" s="8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SUM(B3:B19)</f>
        <v>25290</v>
      </c>
      <c r="C23" s="49" t="s">
        <v>42</v>
      </c>
      <c r="D23" s="50">
        <f>SUM(D3:D16)</f>
        <v>14824</v>
      </c>
      <c r="I23" s="68">
        <f>F2/2</f>
        <v>26835.5</v>
      </c>
    </row>
    <row r="24" spans="1:15" s="36" customFormat="1" x14ac:dyDescent="0.2">
      <c r="A24" s="36" t="s">
        <v>83</v>
      </c>
      <c r="B24" s="68">
        <f>218+138+95</f>
        <v>451</v>
      </c>
      <c r="C24" s="38" t="s">
        <v>44</v>
      </c>
      <c r="D24" s="37">
        <v>570</v>
      </c>
      <c r="H24" s="36" t="s">
        <v>77</v>
      </c>
      <c r="I24" s="68">
        <f>B2-B20</f>
        <v>31326</v>
      </c>
      <c r="J24" s="68">
        <f>I24-I21</f>
        <v>31326</v>
      </c>
    </row>
    <row r="25" spans="1:15" s="36" customFormat="1" ht="15" customHeight="1" x14ac:dyDescent="0.2">
      <c r="A25" s="36" t="s">
        <v>75</v>
      </c>
      <c r="B25" s="68">
        <v>1890</v>
      </c>
      <c r="C25" s="38" t="s">
        <v>56</v>
      </c>
      <c r="D25" s="37">
        <f>75+480</f>
        <v>555</v>
      </c>
      <c r="H25" s="36" t="s">
        <v>78</v>
      </c>
      <c r="I25" s="68">
        <f>D2-D20</f>
        <v>22345</v>
      </c>
      <c r="J25" s="68">
        <f>I24-I22</f>
        <v>31326</v>
      </c>
    </row>
    <row r="26" spans="1:15" s="36" customFormat="1" ht="15" customHeight="1" x14ac:dyDescent="0.2">
      <c r="A26" s="36" t="s">
        <v>47</v>
      </c>
      <c r="B26" s="68">
        <v>879</v>
      </c>
      <c r="C26" s="38"/>
      <c r="D26" s="37"/>
      <c r="H26" s="36" t="s">
        <v>79</v>
      </c>
      <c r="I26" s="68">
        <f>I21+I22</f>
        <v>0</v>
      </c>
    </row>
    <row r="27" spans="1:15" s="36" customFormat="1" x14ac:dyDescent="0.2">
      <c r="C27" s="38"/>
      <c r="D27" s="37"/>
      <c r="H27" s="36" t="s">
        <v>80</v>
      </c>
      <c r="I27" s="68">
        <f>I23/2</f>
        <v>13417.75</v>
      </c>
    </row>
    <row r="28" spans="1:15" s="36" customFormat="1" ht="15" x14ac:dyDescent="0.25">
      <c r="A28" s="74" t="s">
        <v>72</v>
      </c>
      <c r="B28" s="75">
        <v>0</v>
      </c>
      <c r="C28" s="60"/>
      <c r="I28" s="67"/>
      <c r="J28" s="63"/>
    </row>
    <row r="29" spans="1:15" s="36" customFormat="1" ht="15" customHeight="1" x14ac:dyDescent="0.25">
      <c r="A29" s="74" t="s">
        <v>73</v>
      </c>
      <c r="B29" s="75">
        <v>0</v>
      </c>
      <c r="C29" s="1"/>
      <c r="D29" s="37"/>
      <c r="H29" s="64"/>
      <c r="I29" s="63"/>
    </row>
    <row r="30" spans="1:15" s="36" customFormat="1" ht="15" customHeight="1" x14ac:dyDescent="0.2">
      <c r="B30" s="52"/>
      <c r="C30" s="38"/>
      <c r="D30" s="37"/>
    </row>
    <row r="31" spans="1:15" s="36" customFormat="1" x14ac:dyDescent="0.2">
      <c r="B31" s="52"/>
      <c r="C31" s="38"/>
      <c r="D31" s="37"/>
    </row>
    <row r="32" spans="1:15" s="36" customFormat="1" ht="15" customHeight="1" x14ac:dyDescent="0.25">
      <c r="B32" s="52"/>
      <c r="C32" s="38"/>
      <c r="D32" s="37"/>
      <c r="N32" s="47"/>
    </row>
    <row r="33" spans="1:15" s="36" customFormat="1" ht="15" x14ac:dyDescent="0.25">
      <c r="A33" s="47" t="s">
        <v>51</v>
      </c>
      <c r="B33" s="73">
        <f>SUM(B21:B27)</f>
        <v>28510</v>
      </c>
      <c r="C33" s="49" t="s">
        <v>51</v>
      </c>
      <c r="D33" s="50">
        <f>SUM(D21:D27)</f>
        <v>15949</v>
      </c>
      <c r="H33" s="51"/>
      <c r="I33" s="68"/>
      <c r="O33" s="53"/>
    </row>
    <row r="34" spans="1:15" x14ac:dyDescent="0.2">
      <c r="A34" s="36" t="s">
        <v>52</v>
      </c>
      <c r="B34" s="68">
        <f>H9-B30</f>
        <v>26835.5</v>
      </c>
      <c r="C34" s="38" t="s">
        <v>52</v>
      </c>
      <c r="D34" s="37">
        <f>H9-D30</f>
        <v>26835.5</v>
      </c>
    </row>
    <row r="35" spans="1:15" s="36" customFormat="1" ht="15" customHeight="1" x14ac:dyDescent="0.25">
      <c r="A35" s="47" t="s">
        <v>53</v>
      </c>
      <c r="B35" s="73">
        <f>(B2-B20)-B30</f>
        <v>31326</v>
      </c>
      <c r="C35" s="49" t="s">
        <v>53</v>
      </c>
      <c r="D35" s="50">
        <f>(D2-D20)-D30</f>
        <v>22345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D31-D32</f>
        <v>0</v>
      </c>
    </row>
    <row r="38" spans="1:15" ht="15" x14ac:dyDescent="0.25">
      <c r="A38" s="36" t="s">
        <v>55</v>
      </c>
      <c r="B38" s="73">
        <f>(B32-B33)+B30</f>
        <v>-28510</v>
      </c>
      <c r="C38" s="38" t="s">
        <v>55</v>
      </c>
      <c r="D38" s="50">
        <f>(D32-D33)+D30</f>
        <v>-15949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38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0" width="13.125" style="36" customWidth="1"/>
    <col min="11" max="11" width="8.75" style="36" customWidth="1"/>
    <col min="12" max="12" width="4.75" style="36" bestFit="1" customWidth="1"/>
    <col min="13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v>25349</v>
      </c>
      <c r="C2" s="44" t="s">
        <v>14</v>
      </c>
      <c r="D2" s="43">
        <v>22750</v>
      </c>
      <c r="F2" s="45">
        <f>B2+D2</f>
        <v>48099</v>
      </c>
    </row>
    <row r="3" spans="1:17" ht="15" customHeight="1" x14ac:dyDescent="0.25">
      <c r="A3" s="65" t="s">
        <v>70</v>
      </c>
      <c r="B3" s="71">
        <v>99</v>
      </c>
      <c r="C3" s="76" t="s">
        <v>76</v>
      </c>
      <c r="D3" s="66">
        <v>0</v>
      </c>
      <c r="F3" s="46">
        <f>(F2-'25e Juni 2022'!F2)/F2</f>
        <v>-0.1158444042495686</v>
      </c>
    </row>
    <row r="4" spans="1:17" ht="15" customHeight="1" x14ac:dyDescent="0.25">
      <c r="A4" s="47" t="s">
        <v>17</v>
      </c>
      <c r="B4" s="73">
        <v>759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410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1800</v>
      </c>
      <c r="C6" s="38" t="s">
        <v>84</v>
      </c>
      <c r="D6" s="37">
        <f>1048+524</f>
        <v>1572</v>
      </c>
      <c r="F6" s="45">
        <f>D20+B20</f>
        <v>0</v>
      </c>
      <c r="H6" s="45">
        <f>F2-F6</f>
        <v>48099</v>
      </c>
      <c r="P6" s="53"/>
      <c r="Q6" s="59"/>
    </row>
    <row r="7" spans="1:17" ht="15" customHeight="1" x14ac:dyDescent="0.25">
      <c r="A7" s="47" t="s">
        <v>26</v>
      </c>
      <c r="B7" s="73">
        <v>581</v>
      </c>
      <c r="C7" s="38" t="s">
        <v>25</v>
      </c>
      <c r="D7" s="37">
        <v>7000</v>
      </c>
      <c r="F7" s="48" t="e">
        <f>(F6-'25e Juni 2022'!F6)/F6</f>
        <v>#DIV/0!</v>
      </c>
      <c r="P7" s="53"/>
      <c r="Q7" s="59"/>
    </row>
    <row r="8" spans="1:17" x14ac:dyDescent="0.2">
      <c r="A8" s="36" t="s">
        <v>31</v>
      </c>
      <c r="B8" s="68">
        <v>678</v>
      </c>
      <c r="C8" s="38" t="s">
        <v>56</v>
      </c>
      <c r="D8" s="37">
        <v>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434</v>
      </c>
      <c r="C9" s="38" t="s">
        <v>30</v>
      </c>
      <c r="D9" s="37">
        <v>0</v>
      </c>
      <c r="F9" s="72" t="e">
        <f>F6-(('[7]25e Maj'!F6+'[8]25e Juni'!F6+'[9]25e Juli'!F6+'[10]25e Augusti'!F6+'[11]25e September'!F6+'[12]25e Oktober'!F6)/6)</f>
        <v>#REF!</v>
      </c>
      <c r="H9" s="45">
        <f>H6/2</f>
        <v>24049.5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ht="15" customHeight="1" x14ac:dyDescent="0.25">
      <c r="A11" s="47" t="s">
        <v>37</v>
      </c>
      <c r="B11" s="73">
        <v>2296</v>
      </c>
      <c r="C11" s="38" t="s">
        <v>35</v>
      </c>
      <c r="D11" s="37">
        <f>140+235</f>
        <v>375</v>
      </c>
      <c r="P11" s="53"/>
      <c r="Q11" s="59"/>
    </row>
    <row r="12" spans="1:17" ht="15" customHeight="1" x14ac:dyDescent="0.25">
      <c r="A12" s="47" t="s">
        <v>38</v>
      </c>
      <c r="B12" s="73">
        <v>407</v>
      </c>
      <c r="C12" s="1" t="s">
        <v>62</v>
      </c>
      <c r="D12" s="37">
        <v>631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81</v>
      </c>
      <c r="D13" s="37">
        <v>246</v>
      </c>
      <c r="P13" s="53"/>
      <c r="Q13" s="59"/>
    </row>
    <row r="14" spans="1:17" ht="15" customHeight="1" x14ac:dyDescent="0.25">
      <c r="A14" s="47" t="s">
        <v>39</v>
      </c>
      <c r="B14" s="73">
        <v>13769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v>0</v>
      </c>
      <c r="P15" s="53"/>
      <c r="Q15" s="59"/>
    </row>
    <row r="16" spans="1:17" ht="15" customHeight="1" x14ac:dyDescent="0.25">
      <c r="A16" s="36" t="s">
        <v>18</v>
      </c>
      <c r="B16" s="68">
        <v>65</v>
      </c>
      <c r="C16" s="38" t="s">
        <v>68</v>
      </c>
      <c r="D16" s="37">
        <v>0</v>
      </c>
      <c r="L16" s="45"/>
      <c r="O16" s="36"/>
    </row>
    <row r="17" spans="1:10" ht="15" customHeight="1" x14ac:dyDescent="0.25">
      <c r="A17" s="47" t="s">
        <v>82</v>
      </c>
      <c r="B17" s="73">
        <v>2426</v>
      </c>
    </row>
    <row r="18" spans="1:10" s="36" customFormat="1" x14ac:dyDescent="0.2">
      <c r="A18" s="36" t="s">
        <v>56</v>
      </c>
      <c r="B18" s="68">
        <v>0</v>
      </c>
      <c r="C18" s="38"/>
      <c r="D18" s="37"/>
    </row>
    <row r="19" spans="1:10" s="36" customFormat="1" x14ac:dyDescent="0.2">
      <c r="A19" s="36" t="s">
        <v>41</v>
      </c>
      <c r="B19" s="68">
        <v>0</v>
      </c>
      <c r="C19" s="38"/>
      <c r="D19" s="37"/>
      <c r="J19" s="8"/>
    </row>
    <row r="20" spans="1:10" s="36" customFormat="1" ht="15" customHeight="1" x14ac:dyDescent="0.2"/>
    <row r="21" spans="1:10" s="36" customFormat="1" x14ac:dyDescent="0.2"/>
    <row r="22" spans="1:10" s="36" customFormat="1" x14ac:dyDescent="0.2"/>
    <row r="23" spans="1:10" s="36" customFormat="1" ht="15" customHeight="1" x14ac:dyDescent="0.25">
      <c r="A23" s="49" t="s">
        <v>42</v>
      </c>
      <c r="B23" s="73">
        <f>SUM(B3:B19)</f>
        <v>24004</v>
      </c>
      <c r="C23" s="49" t="s">
        <v>42</v>
      </c>
      <c r="D23" s="50">
        <f>SUM(D3:D16)</f>
        <v>11087</v>
      </c>
      <c r="I23" s="68">
        <f>F2/2</f>
        <v>24049.5</v>
      </c>
    </row>
    <row r="24" spans="1:10" s="36" customFormat="1" x14ac:dyDescent="0.2">
      <c r="A24" s="36" t="s">
        <v>83</v>
      </c>
      <c r="B24" s="68">
        <f>218+138+95</f>
        <v>451</v>
      </c>
      <c r="C24" s="38" t="s">
        <v>44</v>
      </c>
      <c r="D24" s="37">
        <v>570</v>
      </c>
      <c r="H24" s="36" t="s">
        <v>77</v>
      </c>
      <c r="I24" s="68">
        <f>B2-B20</f>
        <v>25349</v>
      </c>
      <c r="J24" s="68">
        <f>I24-I21</f>
        <v>25349</v>
      </c>
    </row>
    <row r="25" spans="1:10" s="36" customFormat="1" ht="15" customHeight="1" x14ac:dyDescent="0.2">
      <c r="A25" s="36" t="s">
        <v>75</v>
      </c>
      <c r="B25" s="68">
        <v>0</v>
      </c>
      <c r="C25" s="38" t="s">
        <v>56</v>
      </c>
      <c r="D25" s="37">
        <v>0</v>
      </c>
      <c r="H25" s="36" t="s">
        <v>78</v>
      </c>
      <c r="I25" s="68">
        <f>D2-D20</f>
        <v>22750</v>
      </c>
      <c r="J25" s="68">
        <f>I24-I22</f>
        <v>25349</v>
      </c>
    </row>
    <row r="26" spans="1:10" s="36" customFormat="1" ht="15" customHeight="1" x14ac:dyDescent="0.25">
      <c r="A26" s="47" t="s">
        <v>47</v>
      </c>
      <c r="B26" s="73">
        <v>880</v>
      </c>
      <c r="C26" s="38"/>
      <c r="D26" s="37"/>
      <c r="H26" s="36" t="s">
        <v>79</v>
      </c>
      <c r="I26" s="68">
        <f>I21+I22</f>
        <v>0</v>
      </c>
    </row>
    <row r="27" spans="1:10" s="36" customFormat="1" x14ac:dyDescent="0.2">
      <c r="C27" s="38"/>
      <c r="D27" s="37"/>
      <c r="H27" s="36" t="s">
        <v>80</v>
      </c>
      <c r="I27" s="68">
        <f>I23/2</f>
        <v>12024.75</v>
      </c>
    </row>
    <row r="28" spans="1:10" s="36" customFormat="1" ht="15" x14ac:dyDescent="0.25">
      <c r="A28" s="74" t="s">
        <v>72</v>
      </c>
      <c r="B28" s="75">
        <v>0</v>
      </c>
      <c r="C28" s="60"/>
      <c r="I28" s="67"/>
      <c r="J28" s="63"/>
    </row>
    <row r="29" spans="1:10" s="36" customFormat="1" ht="15" x14ac:dyDescent="0.25">
      <c r="A29" s="74" t="s">
        <v>73</v>
      </c>
      <c r="B29" s="75">
        <v>0</v>
      </c>
      <c r="C29" s="1"/>
      <c r="D29" s="37"/>
      <c r="H29" s="64"/>
      <c r="I29" s="63"/>
    </row>
    <row r="30" spans="1:10" s="36" customFormat="1" ht="15" customHeight="1" x14ac:dyDescent="0.2">
      <c r="B30" s="52"/>
      <c r="C30" s="38"/>
      <c r="D30" s="37"/>
    </row>
    <row r="31" spans="1:10" s="36" customFormat="1" x14ac:dyDescent="0.2">
      <c r="B31" s="52"/>
      <c r="C31" s="38"/>
      <c r="D31" s="37"/>
    </row>
    <row r="32" spans="1:10" s="36" customFormat="1" ht="15" customHeight="1" x14ac:dyDescent="0.2">
      <c r="B32" s="52"/>
      <c r="C32" s="38"/>
      <c r="D32" s="37"/>
    </row>
    <row r="33" spans="1:15" s="36" customFormat="1" ht="15" x14ac:dyDescent="0.25">
      <c r="A33" s="47" t="s">
        <v>51</v>
      </c>
      <c r="B33" s="73">
        <f>SUM(B21:B27)</f>
        <v>25335</v>
      </c>
      <c r="C33" s="49" t="s">
        <v>51</v>
      </c>
      <c r="D33" s="50">
        <f>SUM(D21:D27)</f>
        <v>11657</v>
      </c>
      <c r="H33" s="51"/>
      <c r="I33" s="68"/>
      <c r="O33" s="53"/>
    </row>
    <row r="34" spans="1:15" x14ac:dyDescent="0.2">
      <c r="A34" s="36" t="s">
        <v>52</v>
      </c>
      <c r="B34" s="68">
        <f>H9-B30</f>
        <v>24049.5</v>
      </c>
      <c r="C34" s="38" t="s">
        <v>52</v>
      </c>
      <c r="D34" s="37">
        <f>H9-D30</f>
        <v>24049.5</v>
      </c>
    </row>
    <row r="35" spans="1:15" s="36" customFormat="1" ht="15" customHeight="1" x14ac:dyDescent="0.25">
      <c r="A35" s="47" t="s">
        <v>53</v>
      </c>
      <c r="B35" s="73">
        <f>(B2-B20)-B30</f>
        <v>25349</v>
      </c>
      <c r="C35" s="49" t="s">
        <v>53</v>
      </c>
      <c r="D35" s="50">
        <f>(D2-D20)-D30</f>
        <v>22750</v>
      </c>
      <c r="F35" s="51"/>
      <c r="O35" s="53"/>
    </row>
    <row r="36" spans="1:15" x14ac:dyDescent="0.2">
      <c r="A36" s="36" t="s">
        <v>54</v>
      </c>
      <c r="B36" s="68">
        <f>B31-B32</f>
        <v>0</v>
      </c>
      <c r="C36" s="38" t="s">
        <v>54</v>
      </c>
      <c r="D36" s="37">
        <f>D31-D32</f>
        <v>0</v>
      </c>
    </row>
    <row r="38" spans="1:15" ht="15" x14ac:dyDescent="0.25">
      <c r="A38" s="36" t="s">
        <v>55</v>
      </c>
      <c r="B38" s="73">
        <f>(B32-B33)+B30</f>
        <v>-25335</v>
      </c>
      <c r="C38" s="38" t="s">
        <v>55</v>
      </c>
      <c r="D38" s="50">
        <f>(D32-D33)+D30</f>
        <v>-11657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EZ31"/>
  <sheetViews>
    <sheetView workbookViewId="0">
      <selection activeCell="J23" sqref="J23"/>
    </sheetView>
  </sheetViews>
  <sheetFormatPr defaultRowHeight="14.25" x14ac:dyDescent="0.2"/>
  <cols>
    <col min="1" max="1" width="10.375" style="2" customWidth="1"/>
    <col min="2" max="2" width="13.5" style="53" customWidth="1"/>
    <col min="3" max="3" width="10.375" style="81" customWidth="1"/>
    <col min="4" max="4" width="13.5" style="53" customWidth="1"/>
    <col min="5" max="5" width="11.125" style="81" customWidth="1"/>
    <col min="6" max="6" width="16.75" style="36" customWidth="1"/>
    <col min="7" max="7" width="11.125" style="82" bestFit="1" customWidth="1"/>
    <col min="8" max="1020" width="8.75" style="36" customWidth="1"/>
    <col min="16381" max="16384" width="9" style="36" customWidth="1"/>
  </cols>
  <sheetData>
    <row r="1" spans="1:7" x14ac:dyDescent="0.2">
      <c r="A1" s="2" t="s">
        <v>85</v>
      </c>
      <c r="C1" s="81" t="s">
        <v>86</v>
      </c>
      <c r="E1" s="81" t="s">
        <v>87</v>
      </c>
    </row>
    <row r="2" spans="1:7" x14ac:dyDescent="0.2">
      <c r="A2" s="3" t="s">
        <v>88</v>
      </c>
      <c r="B2" s="83" t="s">
        <v>89</v>
      </c>
      <c r="C2" s="84" t="s">
        <v>88</v>
      </c>
      <c r="D2" s="83" t="s">
        <v>89</v>
      </c>
      <c r="E2" s="84" t="s">
        <v>88</v>
      </c>
      <c r="F2" s="85" t="s">
        <v>90</v>
      </c>
    </row>
    <row r="3" spans="1:7" x14ac:dyDescent="0.2">
      <c r="A3" s="2">
        <v>44160</v>
      </c>
      <c r="B3" s="53">
        <v>5579</v>
      </c>
      <c r="C3" s="81">
        <v>44165</v>
      </c>
      <c r="D3" s="53">
        <v>1000</v>
      </c>
      <c r="E3" s="81">
        <v>44165</v>
      </c>
      <c r="F3" s="68">
        <f t="shared" ref="F3:F22" si="0">D3+B3</f>
        <v>6579</v>
      </c>
    </row>
    <row r="4" spans="1:7" x14ac:dyDescent="0.2">
      <c r="A4" s="2">
        <v>44190</v>
      </c>
      <c r="B4" s="53">
        <f>6500+650</f>
        <v>7150</v>
      </c>
      <c r="C4" s="81">
        <v>44193</v>
      </c>
      <c r="D4" s="53">
        <v>1149</v>
      </c>
      <c r="E4" s="81">
        <v>44193</v>
      </c>
      <c r="F4" s="68">
        <f t="shared" si="0"/>
        <v>8299</v>
      </c>
      <c r="G4" s="82">
        <f t="shared" ref="G4:G22" si="1">F4-F3</f>
        <v>1720</v>
      </c>
    </row>
    <row r="5" spans="1:7" x14ac:dyDescent="0.2">
      <c r="A5" s="2">
        <v>44206</v>
      </c>
      <c r="B5" s="53">
        <v>6500</v>
      </c>
      <c r="C5" s="81">
        <v>44206</v>
      </c>
      <c r="D5" s="53">
        <v>1052</v>
      </c>
      <c r="E5" s="81">
        <v>44206</v>
      </c>
      <c r="F5" s="68">
        <f t="shared" si="0"/>
        <v>7552</v>
      </c>
      <c r="G5" s="82">
        <f t="shared" si="1"/>
        <v>-747</v>
      </c>
    </row>
    <row r="6" spans="1:7" x14ac:dyDescent="0.2">
      <c r="A6" s="2">
        <v>44221</v>
      </c>
      <c r="B6" s="53">
        <v>9725</v>
      </c>
      <c r="C6" s="81">
        <v>44221</v>
      </c>
      <c r="D6" s="53">
        <v>1030</v>
      </c>
      <c r="E6" s="81">
        <v>44221</v>
      </c>
      <c r="F6" s="68">
        <f t="shared" si="0"/>
        <v>10755</v>
      </c>
      <c r="G6" s="82">
        <f t="shared" si="1"/>
        <v>3203</v>
      </c>
    </row>
    <row r="7" spans="1:7" x14ac:dyDescent="0.2">
      <c r="A7" s="2">
        <v>44238</v>
      </c>
      <c r="B7" s="53">
        <v>8000</v>
      </c>
      <c r="C7" s="81">
        <v>44238</v>
      </c>
      <c r="D7" s="53">
        <v>3783</v>
      </c>
      <c r="E7" s="81">
        <v>44238</v>
      </c>
      <c r="F7" s="68">
        <f t="shared" si="0"/>
        <v>11783</v>
      </c>
      <c r="G7" s="82">
        <f t="shared" si="1"/>
        <v>1028</v>
      </c>
    </row>
    <row r="8" spans="1:7" x14ac:dyDescent="0.2">
      <c r="A8" s="2">
        <v>44240</v>
      </c>
      <c r="B8" s="53">
        <v>7000</v>
      </c>
      <c r="C8" s="81">
        <v>44240</v>
      </c>
      <c r="D8" s="53">
        <v>4941</v>
      </c>
      <c r="E8" s="81">
        <v>44240</v>
      </c>
      <c r="F8" s="68">
        <f t="shared" si="0"/>
        <v>11941</v>
      </c>
      <c r="G8" s="82">
        <f t="shared" si="1"/>
        <v>158</v>
      </c>
    </row>
    <row r="9" spans="1:7" x14ac:dyDescent="0.2">
      <c r="A9" s="2">
        <v>44253</v>
      </c>
      <c r="B9" s="53">
        <v>8660</v>
      </c>
      <c r="C9" s="81">
        <v>44253</v>
      </c>
      <c r="D9" s="53">
        <v>6653</v>
      </c>
      <c r="E9" s="81">
        <v>44253</v>
      </c>
      <c r="F9" s="68">
        <f t="shared" si="0"/>
        <v>15313</v>
      </c>
      <c r="G9" s="82">
        <f t="shared" si="1"/>
        <v>3372</v>
      </c>
    </row>
    <row r="10" spans="1:7" x14ac:dyDescent="0.2">
      <c r="A10" s="2">
        <v>44280</v>
      </c>
      <c r="B10" s="53">
        <v>9272</v>
      </c>
      <c r="C10" s="81">
        <v>44280</v>
      </c>
      <c r="D10" s="53">
        <v>9757</v>
      </c>
      <c r="E10" s="81">
        <v>44280</v>
      </c>
      <c r="F10" s="68">
        <f t="shared" si="0"/>
        <v>19029</v>
      </c>
      <c r="G10" s="82">
        <f t="shared" si="1"/>
        <v>3716</v>
      </c>
    </row>
    <row r="11" spans="1:7" x14ac:dyDescent="0.2">
      <c r="A11" s="2">
        <v>44311</v>
      </c>
      <c r="B11" s="53">
        <v>12000</v>
      </c>
      <c r="C11" s="81">
        <v>44311</v>
      </c>
      <c r="D11" s="53">
        <v>20050</v>
      </c>
      <c r="E11" s="81">
        <v>44311</v>
      </c>
      <c r="F11" s="68">
        <f t="shared" si="0"/>
        <v>32050</v>
      </c>
      <c r="G11" s="82">
        <f t="shared" si="1"/>
        <v>13021</v>
      </c>
    </row>
    <row r="12" spans="1:7" x14ac:dyDescent="0.2">
      <c r="A12" s="2">
        <v>44341</v>
      </c>
      <c r="B12" s="53">
        <v>9900</v>
      </c>
      <c r="C12" s="81">
        <v>44341</v>
      </c>
      <c r="D12" s="53">
        <v>22200</v>
      </c>
      <c r="E12" s="81">
        <v>44341</v>
      </c>
      <c r="F12" s="68">
        <f t="shared" si="0"/>
        <v>32100</v>
      </c>
      <c r="G12" s="82">
        <f t="shared" si="1"/>
        <v>50</v>
      </c>
    </row>
    <row r="13" spans="1:7" x14ac:dyDescent="0.2">
      <c r="A13" s="2">
        <v>44372</v>
      </c>
      <c r="B13" s="53">
        <v>7000</v>
      </c>
      <c r="C13" s="81">
        <v>44372</v>
      </c>
      <c r="D13" s="53">
        <v>24800</v>
      </c>
      <c r="E13" s="81">
        <v>44372</v>
      </c>
      <c r="F13" s="68">
        <f t="shared" si="0"/>
        <v>31800</v>
      </c>
      <c r="G13" s="82">
        <f t="shared" si="1"/>
        <v>-300</v>
      </c>
    </row>
    <row r="14" spans="1:7" x14ac:dyDescent="0.2">
      <c r="A14" s="2">
        <v>44402</v>
      </c>
      <c r="B14" s="53">
        <v>9000</v>
      </c>
      <c r="C14" s="81">
        <v>44402</v>
      </c>
      <c r="D14" s="53">
        <v>33500</v>
      </c>
      <c r="E14" s="81">
        <v>44402</v>
      </c>
      <c r="F14" s="68">
        <f t="shared" si="0"/>
        <v>42500</v>
      </c>
      <c r="G14" s="82">
        <f t="shared" si="1"/>
        <v>10700</v>
      </c>
    </row>
    <row r="15" spans="1:7" x14ac:dyDescent="0.2">
      <c r="A15" s="2">
        <v>44433</v>
      </c>
      <c r="B15" s="53">
        <v>7000</v>
      </c>
      <c r="C15" s="81">
        <v>44433</v>
      </c>
      <c r="D15" s="53">
        <v>33500</v>
      </c>
      <c r="E15" s="81">
        <v>44433</v>
      </c>
      <c r="F15" s="68">
        <f t="shared" si="0"/>
        <v>40500</v>
      </c>
      <c r="G15" s="82">
        <f t="shared" si="1"/>
        <v>-2000</v>
      </c>
    </row>
    <row r="16" spans="1:7" x14ac:dyDescent="0.2">
      <c r="A16" s="2">
        <v>44464</v>
      </c>
      <c r="B16" s="53">
        <v>7000</v>
      </c>
      <c r="C16" s="81">
        <v>44464</v>
      </c>
      <c r="D16" s="53">
        <v>30800</v>
      </c>
      <c r="E16" s="81">
        <v>44464</v>
      </c>
      <c r="F16" s="68">
        <f t="shared" si="0"/>
        <v>37800</v>
      </c>
      <c r="G16" s="82">
        <f t="shared" si="1"/>
        <v>-2700</v>
      </c>
    </row>
    <row r="17" spans="1:7" x14ac:dyDescent="0.2">
      <c r="A17" s="2">
        <v>44494</v>
      </c>
      <c r="B17" s="53">
        <v>1700</v>
      </c>
      <c r="C17" s="81">
        <v>44494</v>
      </c>
      <c r="D17" s="53">
        <v>34500</v>
      </c>
      <c r="E17" s="81">
        <v>44494</v>
      </c>
      <c r="F17" s="68">
        <f t="shared" si="0"/>
        <v>36200</v>
      </c>
      <c r="G17" s="82">
        <f t="shared" si="1"/>
        <v>-1600</v>
      </c>
    </row>
    <row r="18" spans="1:7" x14ac:dyDescent="0.2">
      <c r="A18" s="2">
        <v>44525</v>
      </c>
      <c r="B18" s="53">
        <v>3700</v>
      </c>
      <c r="C18" s="81">
        <v>44525</v>
      </c>
      <c r="D18" s="53">
        <v>37500</v>
      </c>
      <c r="E18" s="81">
        <v>44525</v>
      </c>
      <c r="F18" s="68">
        <f t="shared" si="0"/>
        <v>41200</v>
      </c>
      <c r="G18" s="82">
        <f t="shared" si="1"/>
        <v>5000</v>
      </c>
    </row>
    <row r="19" spans="1:7" x14ac:dyDescent="0.2">
      <c r="A19" s="2">
        <v>44555</v>
      </c>
      <c r="B19" s="53">
        <v>3600</v>
      </c>
      <c r="C19" s="81">
        <v>44555</v>
      </c>
      <c r="D19" s="53">
        <v>38000</v>
      </c>
      <c r="E19" s="81">
        <v>44555</v>
      </c>
      <c r="F19" s="68">
        <f t="shared" si="0"/>
        <v>41600</v>
      </c>
      <c r="G19" s="82">
        <f t="shared" si="1"/>
        <v>400</v>
      </c>
    </row>
    <row r="20" spans="1:7" x14ac:dyDescent="0.2">
      <c r="A20" s="2">
        <v>44586</v>
      </c>
      <c r="B20" s="53">
        <v>900</v>
      </c>
      <c r="C20" s="81">
        <v>44586</v>
      </c>
      <c r="D20" s="53">
        <v>32100</v>
      </c>
      <c r="E20" s="81">
        <v>44586</v>
      </c>
      <c r="F20" s="68">
        <f t="shared" si="0"/>
        <v>33000</v>
      </c>
      <c r="G20" s="82">
        <f t="shared" si="1"/>
        <v>-8600</v>
      </c>
    </row>
    <row r="21" spans="1:7" x14ac:dyDescent="0.2">
      <c r="A21" s="2">
        <v>44617</v>
      </c>
      <c r="B21" s="53">
        <v>3000</v>
      </c>
      <c r="C21" s="81">
        <v>44617</v>
      </c>
      <c r="D21" s="53">
        <v>26565</v>
      </c>
      <c r="E21" s="81">
        <v>44617</v>
      </c>
      <c r="F21" s="68">
        <f t="shared" si="0"/>
        <v>29565</v>
      </c>
      <c r="G21" s="82">
        <f t="shared" si="1"/>
        <v>-3435</v>
      </c>
    </row>
    <row r="22" spans="1:7" x14ac:dyDescent="0.2">
      <c r="A22" s="2">
        <v>44645</v>
      </c>
      <c r="B22" s="53">
        <v>27500</v>
      </c>
      <c r="C22" s="81">
        <v>44645</v>
      </c>
      <c r="D22" s="53">
        <v>907</v>
      </c>
      <c r="E22" s="81">
        <v>44645</v>
      </c>
      <c r="F22" s="68">
        <f t="shared" si="0"/>
        <v>28407</v>
      </c>
      <c r="G22" s="82">
        <f t="shared" si="1"/>
        <v>-1158</v>
      </c>
    </row>
    <row r="23" spans="1:7" x14ac:dyDescent="0.2">
      <c r="A23" s="2">
        <v>44676</v>
      </c>
      <c r="C23" s="81">
        <v>44676</v>
      </c>
      <c r="E23" s="81">
        <v>44676</v>
      </c>
    </row>
    <row r="24" spans="1:7" x14ac:dyDescent="0.2">
      <c r="A24" s="2">
        <v>44706</v>
      </c>
      <c r="C24" s="81">
        <v>44706</v>
      </c>
      <c r="E24" s="81">
        <v>44706</v>
      </c>
    </row>
    <row r="25" spans="1:7" x14ac:dyDescent="0.2">
      <c r="A25" s="2">
        <v>44737</v>
      </c>
      <c r="C25" s="81">
        <v>44737</v>
      </c>
      <c r="E25" s="81">
        <v>44737</v>
      </c>
    </row>
    <row r="26" spans="1:7" x14ac:dyDescent="0.2">
      <c r="A26" s="2">
        <v>44767</v>
      </c>
      <c r="C26" s="81">
        <v>44767</v>
      </c>
      <c r="E26" s="81">
        <v>44767</v>
      </c>
    </row>
    <row r="27" spans="1:7" x14ac:dyDescent="0.2">
      <c r="A27" s="2">
        <v>44798</v>
      </c>
      <c r="C27" s="81">
        <v>44798</v>
      </c>
      <c r="E27" s="81">
        <v>44798</v>
      </c>
    </row>
    <row r="28" spans="1:7" x14ac:dyDescent="0.2">
      <c r="A28" s="2">
        <v>44829</v>
      </c>
      <c r="C28" s="81">
        <v>44829</v>
      </c>
      <c r="E28" s="81">
        <v>44829</v>
      </c>
    </row>
    <row r="29" spans="1:7" x14ac:dyDescent="0.2">
      <c r="A29" s="2">
        <v>44859</v>
      </c>
      <c r="C29" s="81">
        <v>44859</v>
      </c>
      <c r="E29" s="81">
        <v>44859</v>
      </c>
    </row>
    <row r="30" spans="1:7" x14ac:dyDescent="0.2">
      <c r="A30" s="2">
        <v>44890</v>
      </c>
      <c r="C30" s="81">
        <v>44890</v>
      </c>
      <c r="E30" s="81">
        <v>44890</v>
      </c>
    </row>
    <row r="31" spans="1:7" x14ac:dyDescent="0.2">
      <c r="A31" s="2">
        <v>44920</v>
      </c>
      <c r="C31" s="81">
        <v>44920</v>
      </c>
      <c r="E31" s="81">
        <v>44920</v>
      </c>
    </row>
  </sheetData>
  <conditionalFormatting sqref="G1:G104857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0000000000000007" right="0.70000000000000007" top="1.143700787401575" bottom="1.143700787401575" header="0.74999999999999989" footer="0.74999999999999989"/>
  <pageSetup fitToWidth="0" fitToHeight="0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31:AMJ43"/>
  <sheetViews>
    <sheetView zoomScale="89" zoomScaleNormal="89" workbookViewId="0">
      <selection activeCell="R38" sqref="R38"/>
    </sheetView>
  </sheetViews>
  <sheetFormatPr defaultRowHeight="14.25" x14ac:dyDescent="0.2"/>
  <cols>
    <col min="1" max="2" width="8.75" style="36" customWidth="1"/>
    <col min="3" max="3" width="8.75" style="86" customWidth="1"/>
    <col min="4" max="4" width="12" style="36" customWidth="1"/>
    <col min="5" max="11" width="8.75" style="36" customWidth="1"/>
    <col min="12" max="12" width="8.75" style="86" customWidth="1"/>
    <col min="13" max="13" width="12" style="36" customWidth="1"/>
    <col min="14" max="22" width="8.75" style="36" customWidth="1"/>
    <col min="23" max="23" width="12" style="68" customWidth="1"/>
    <col min="24" max="1024" width="8.75" style="36" customWidth="1"/>
  </cols>
  <sheetData>
    <row r="31" spans="2:23" x14ac:dyDescent="0.2">
      <c r="B31" s="36" t="s">
        <v>91</v>
      </c>
      <c r="C31" s="86">
        <v>44252</v>
      </c>
      <c r="D31" s="53">
        <v>17000</v>
      </c>
      <c r="K31" s="36" t="s">
        <v>91</v>
      </c>
      <c r="L31" s="86">
        <v>44252</v>
      </c>
      <c r="M31" s="53">
        <v>24000</v>
      </c>
      <c r="U31" s="36" t="s">
        <v>91</v>
      </c>
      <c r="V31" s="86">
        <v>44252</v>
      </c>
      <c r="W31" s="68">
        <v>40000</v>
      </c>
    </row>
    <row r="32" spans="2:23" x14ac:dyDescent="0.2">
      <c r="C32" s="86">
        <v>44280</v>
      </c>
      <c r="D32" s="53">
        <v>22000</v>
      </c>
      <c r="L32" s="86">
        <v>44280</v>
      </c>
      <c r="M32" s="53">
        <v>28000</v>
      </c>
      <c r="V32" s="86">
        <v>44280</v>
      </c>
      <c r="W32" s="68">
        <v>50000</v>
      </c>
    </row>
    <row r="33" spans="3:23" x14ac:dyDescent="0.2">
      <c r="C33" s="86">
        <v>44311</v>
      </c>
      <c r="D33" s="53">
        <v>20000</v>
      </c>
      <c r="L33" s="86">
        <v>44311</v>
      </c>
      <c r="M33" s="53">
        <v>46000</v>
      </c>
      <c r="V33" s="86">
        <v>44311</v>
      </c>
      <c r="W33" s="68">
        <v>66000</v>
      </c>
    </row>
    <row r="34" spans="3:23" x14ac:dyDescent="0.2">
      <c r="D34" s="53"/>
      <c r="M34" s="53"/>
    </row>
    <row r="35" spans="3:23" x14ac:dyDescent="0.2">
      <c r="D35" s="53"/>
      <c r="M35" s="53"/>
      <c r="V35" s="86"/>
    </row>
    <row r="36" spans="3:23" x14ac:dyDescent="0.2">
      <c r="D36" s="53"/>
      <c r="M36" s="53"/>
      <c r="V36" s="86"/>
    </row>
    <row r="37" spans="3:23" x14ac:dyDescent="0.2">
      <c r="D37" s="53"/>
      <c r="M37" s="53"/>
      <c r="V37" s="86"/>
    </row>
    <row r="38" spans="3:23" x14ac:dyDescent="0.2">
      <c r="D38" s="53"/>
      <c r="M38" s="53"/>
      <c r="V38" s="86"/>
    </row>
    <row r="39" spans="3:23" x14ac:dyDescent="0.2">
      <c r="D39" s="53"/>
      <c r="M39" s="53"/>
      <c r="V39" s="86"/>
    </row>
    <row r="40" spans="3:23" x14ac:dyDescent="0.2">
      <c r="D40" s="53"/>
      <c r="M40" s="53"/>
      <c r="V40" s="86"/>
    </row>
    <row r="41" spans="3:23" x14ac:dyDescent="0.2">
      <c r="D41" s="53"/>
      <c r="M41" s="53"/>
      <c r="V41" s="86"/>
    </row>
    <row r="42" spans="3:23" x14ac:dyDescent="0.2">
      <c r="D42" s="53"/>
      <c r="M42" s="53"/>
    </row>
    <row r="43" spans="3:23" x14ac:dyDescent="0.2">
      <c r="D43" s="53"/>
      <c r="M43" s="53"/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J35"/>
  <sheetViews>
    <sheetView workbookViewId="0">
      <selection sqref="A1:B1048576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9" width="12.125" style="36" bestFit="1" customWidth="1"/>
    <col min="10" max="10" width="13.125" style="36" customWidth="1"/>
    <col min="11" max="11" width="8.75" style="36" customWidth="1"/>
    <col min="12" max="12" width="4.75" style="36" bestFit="1" customWidth="1"/>
    <col min="13" max="13" width="8.75" style="36" customWidth="1"/>
    <col min="14" max="14" width="38.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v>21000</v>
      </c>
      <c r="C2" s="44" t="s">
        <v>14</v>
      </c>
      <c r="D2" s="43">
        <v>21000</v>
      </c>
      <c r="F2" s="45">
        <f>B2+D2</f>
        <v>42000</v>
      </c>
    </row>
    <row r="3" spans="1:17" ht="15" customHeight="1" x14ac:dyDescent="0.25">
      <c r="A3" s="65" t="s">
        <v>70</v>
      </c>
      <c r="B3" s="71">
        <v>99</v>
      </c>
      <c r="C3" s="76" t="s">
        <v>76</v>
      </c>
      <c r="D3" s="66">
        <v>0</v>
      </c>
      <c r="F3" s="48">
        <f>(F2-'25e Mars 2022'!F2)/F2</f>
        <v>-2.8666666666666667E-2</v>
      </c>
    </row>
    <row r="4" spans="1:17" x14ac:dyDescent="0.2">
      <c r="A4" s="36" t="s">
        <v>17</v>
      </c>
      <c r="B4" s="68">
        <v>729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444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1800</v>
      </c>
      <c r="C6" s="38" t="s">
        <v>23</v>
      </c>
      <c r="D6" s="37">
        <f>1048+524</f>
        <v>1572</v>
      </c>
      <c r="F6" s="45">
        <f>D20+B20</f>
        <v>38660</v>
      </c>
      <c r="H6" s="45">
        <f>F2-F6</f>
        <v>3340</v>
      </c>
      <c r="P6" s="53"/>
      <c r="Q6" s="59"/>
    </row>
    <row r="7" spans="1:17" ht="15" customHeight="1" x14ac:dyDescent="0.25">
      <c r="A7" s="36" t="s">
        <v>26</v>
      </c>
      <c r="B7" s="68">
        <v>630</v>
      </c>
      <c r="C7" s="38" t="s">
        <v>25</v>
      </c>
      <c r="D7" s="37">
        <v>7500</v>
      </c>
      <c r="F7" s="46">
        <f>(F6-'25e Mars 2022'!F6)/F6</f>
        <v>1</v>
      </c>
      <c r="P7" s="53"/>
      <c r="Q7" s="59"/>
    </row>
    <row r="8" spans="1:17" x14ac:dyDescent="0.2">
      <c r="A8" s="36" t="s">
        <v>31</v>
      </c>
      <c r="B8" s="68">
        <v>358</v>
      </c>
      <c r="C8" s="38" t="s">
        <v>56</v>
      </c>
      <c r="D8" s="37">
        <v>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429</v>
      </c>
      <c r="C9" s="38" t="s">
        <v>30</v>
      </c>
      <c r="D9" s="37">
        <v>300</v>
      </c>
      <c r="F9" s="72" t="e">
        <f>F6-(('[7]25e Maj'!F6+'[8]25e Juni'!F6+'[9]25e Juli'!F6+'[10]25e Augusti'!F6+'[11]25e September'!F6+'[12]25e Oktober'!F6)/6)</f>
        <v>#REF!</v>
      </c>
      <c r="H9" s="45">
        <f>H6/2</f>
        <v>1670</v>
      </c>
      <c r="P9" s="53"/>
      <c r="Q9" s="59"/>
    </row>
    <row r="10" spans="1:17" x14ac:dyDescent="0.2">
      <c r="A10" s="36" t="s">
        <v>35</v>
      </c>
      <c r="B10" s="68">
        <v>375</v>
      </c>
      <c r="C10" s="38" t="s">
        <v>32</v>
      </c>
      <c r="D10" s="37">
        <v>479</v>
      </c>
      <c r="P10" s="53"/>
      <c r="Q10" s="59"/>
    </row>
    <row r="11" spans="1:17" ht="15" customHeight="1" x14ac:dyDescent="0.25">
      <c r="A11" s="47" t="s">
        <v>37</v>
      </c>
      <c r="B11" s="73">
        <v>2500</v>
      </c>
      <c r="C11" s="38" t="s">
        <v>35</v>
      </c>
      <c r="D11" s="37">
        <f>140+235</f>
        <v>375</v>
      </c>
      <c r="P11" s="53"/>
      <c r="Q11" s="59"/>
    </row>
    <row r="12" spans="1:17" ht="15" customHeight="1" x14ac:dyDescent="0.25">
      <c r="A12" s="47" t="s">
        <v>38</v>
      </c>
      <c r="B12" s="73">
        <v>139</v>
      </c>
      <c r="C12" s="1" t="s">
        <v>62</v>
      </c>
      <c r="D12" s="37">
        <v>631</v>
      </c>
      <c r="N12" s="36" t="s">
        <v>92</v>
      </c>
      <c r="O12" s="53">
        <v>54743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81</v>
      </c>
      <c r="D13" s="37">
        <v>246</v>
      </c>
      <c r="N13" s="36" t="s">
        <v>93</v>
      </c>
      <c r="O13" s="53">
        <v>46950</v>
      </c>
      <c r="P13" s="53"/>
      <c r="Q13" s="59"/>
    </row>
    <row r="14" spans="1:17" x14ac:dyDescent="0.2">
      <c r="A14" s="36" t="s">
        <v>39</v>
      </c>
      <c r="B14" s="68">
        <f>17000</f>
        <v>17000</v>
      </c>
      <c r="C14" s="38" t="s">
        <v>45</v>
      </c>
      <c r="D14" s="37">
        <v>105</v>
      </c>
      <c r="N14" s="36" t="s">
        <v>94</v>
      </c>
      <c r="O14" s="53">
        <v>49900</v>
      </c>
      <c r="P14" s="53"/>
      <c r="Q14" s="59"/>
    </row>
    <row r="15" spans="1:17" x14ac:dyDescent="0.2">
      <c r="A15" s="36" t="s">
        <v>40</v>
      </c>
      <c r="B15" s="68">
        <v>179</v>
      </c>
      <c r="C15" s="38" t="s">
        <v>36</v>
      </c>
      <c r="D15" s="37">
        <v>0</v>
      </c>
      <c r="N15" s="36" t="s">
        <v>95</v>
      </c>
      <c r="O15" s="53">
        <f>24050+16200+3750+730</f>
        <v>44730</v>
      </c>
      <c r="P15" s="53"/>
      <c r="Q15" s="59"/>
    </row>
    <row r="16" spans="1:17" ht="15" customHeight="1" x14ac:dyDescent="0.25">
      <c r="A16" s="36" t="s">
        <v>18</v>
      </c>
      <c r="B16" s="68">
        <v>65</v>
      </c>
      <c r="C16" s="38" t="s">
        <v>68</v>
      </c>
      <c r="D16" s="37">
        <v>0</v>
      </c>
      <c r="L16" s="45"/>
      <c r="N16" s="36" t="s">
        <v>96</v>
      </c>
      <c r="O16" s="53">
        <f>27000+16200+3750+730</f>
        <v>47680</v>
      </c>
    </row>
    <row r="17" spans="1:15" x14ac:dyDescent="0.2">
      <c r="A17" s="36" t="s">
        <v>82</v>
      </c>
      <c r="B17" s="68">
        <v>2300</v>
      </c>
    </row>
    <row r="18" spans="1:15" s="36" customFormat="1" x14ac:dyDescent="0.2">
      <c r="A18" s="36" t="s">
        <v>56</v>
      </c>
      <c r="B18" s="68">
        <v>0</v>
      </c>
      <c r="C18" s="38"/>
      <c r="D18" s="37"/>
    </row>
    <row r="19" spans="1:15" s="36" customFormat="1" x14ac:dyDescent="0.2">
      <c r="A19" s="36" t="s">
        <v>41</v>
      </c>
      <c r="B19" s="68">
        <v>0</v>
      </c>
      <c r="C19" s="38"/>
      <c r="D19" s="37"/>
      <c r="J19" s="8"/>
    </row>
    <row r="20" spans="1:15" s="36" customFormat="1" ht="15" customHeight="1" x14ac:dyDescent="0.25">
      <c r="A20" s="49" t="s">
        <v>42</v>
      </c>
      <c r="B20" s="73">
        <f>SUM(B3:B19)</f>
        <v>26739</v>
      </c>
      <c r="C20" s="49" t="s">
        <v>42</v>
      </c>
      <c r="D20" s="50">
        <f>SUM(D3:D16)</f>
        <v>11921</v>
      </c>
      <c r="I20" s="68">
        <f>F2/2</f>
        <v>21000</v>
      </c>
    </row>
    <row r="21" spans="1:15" s="36" customFormat="1" x14ac:dyDescent="0.2">
      <c r="A21" s="36" t="s">
        <v>58</v>
      </c>
      <c r="B21" s="68">
        <v>99</v>
      </c>
      <c r="C21" s="38" t="s">
        <v>44</v>
      </c>
      <c r="D21" s="37">
        <v>570</v>
      </c>
      <c r="H21" s="36" t="s">
        <v>77</v>
      </c>
      <c r="I21" s="68">
        <f>B2-B20</f>
        <v>-5739</v>
      </c>
      <c r="J21" s="68">
        <f>I24-I21</f>
        <v>7409</v>
      </c>
    </row>
    <row r="22" spans="1:15" s="36" customFormat="1" x14ac:dyDescent="0.2">
      <c r="A22" s="36" t="s">
        <v>67</v>
      </c>
      <c r="B22" s="68">
        <v>0</v>
      </c>
      <c r="C22" s="38" t="s">
        <v>56</v>
      </c>
      <c r="D22" s="37">
        <v>0</v>
      </c>
      <c r="H22" s="36" t="s">
        <v>78</v>
      </c>
      <c r="I22" s="68">
        <f>D2-D20</f>
        <v>9079</v>
      </c>
      <c r="J22" s="68">
        <f>I24-I22</f>
        <v>-7409</v>
      </c>
    </row>
    <row r="23" spans="1:15" s="36" customFormat="1" x14ac:dyDescent="0.2">
      <c r="A23" s="36" t="s">
        <v>75</v>
      </c>
      <c r="B23" s="68">
        <v>0</v>
      </c>
      <c r="C23" s="38"/>
      <c r="D23" s="37"/>
      <c r="H23" s="36" t="s">
        <v>79</v>
      </c>
      <c r="I23" s="68">
        <f>I21+I22</f>
        <v>3340</v>
      </c>
    </row>
    <row r="24" spans="1:15" s="36" customFormat="1" x14ac:dyDescent="0.2">
      <c r="A24" s="36" t="s">
        <v>47</v>
      </c>
      <c r="B24" s="68">
        <v>800</v>
      </c>
      <c r="C24" s="38"/>
      <c r="D24" s="37"/>
      <c r="H24" s="36" t="s">
        <v>80</v>
      </c>
      <c r="I24" s="68">
        <f>I23/2</f>
        <v>1670</v>
      </c>
    </row>
    <row r="25" spans="1:15" s="36" customFormat="1" ht="15" customHeight="1" x14ac:dyDescent="0.25">
      <c r="A25" s="74" t="s">
        <v>72</v>
      </c>
      <c r="B25" s="75">
        <v>0</v>
      </c>
      <c r="C25" s="60"/>
      <c r="I25" s="67"/>
      <c r="J25" s="63"/>
    </row>
    <row r="26" spans="1:15" s="36" customFormat="1" ht="15" customHeight="1" x14ac:dyDescent="0.25">
      <c r="A26" s="74" t="s">
        <v>73</v>
      </c>
      <c r="B26" s="75">
        <v>0</v>
      </c>
      <c r="C26" s="1"/>
      <c r="D26" s="37"/>
      <c r="H26" s="64"/>
      <c r="I26" s="63"/>
    </row>
    <row r="27" spans="1:15" s="36" customFormat="1" x14ac:dyDescent="0.2">
      <c r="B27" s="52"/>
      <c r="C27" s="38"/>
      <c r="D27" s="37"/>
    </row>
    <row r="28" spans="1:15" s="36" customFormat="1" x14ac:dyDescent="0.2">
      <c r="B28" s="52"/>
      <c r="C28" s="38"/>
      <c r="D28" s="37"/>
    </row>
    <row r="29" spans="1:15" s="36" customFormat="1" x14ac:dyDescent="0.2">
      <c r="B29" s="52"/>
      <c r="C29" s="38"/>
      <c r="D29" s="37"/>
    </row>
    <row r="30" spans="1:15" s="36" customFormat="1" ht="15" customHeight="1" x14ac:dyDescent="0.25">
      <c r="A30" s="47" t="s">
        <v>51</v>
      </c>
      <c r="B30" s="73">
        <f>SUM(B21:B27)</f>
        <v>899</v>
      </c>
      <c r="C30" s="49" t="s">
        <v>51</v>
      </c>
      <c r="D30" s="50">
        <f>SUM(D21:D27)</f>
        <v>570</v>
      </c>
      <c r="H30" s="51"/>
      <c r="I30" s="68"/>
      <c r="O30" s="53"/>
    </row>
    <row r="31" spans="1:15" s="36" customFormat="1" x14ac:dyDescent="0.2">
      <c r="A31" s="36" t="s">
        <v>52</v>
      </c>
      <c r="B31" s="68">
        <f>H9-B30</f>
        <v>771</v>
      </c>
      <c r="C31" s="38" t="s">
        <v>52</v>
      </c>
      <c r="D31" s="37">
        <f>H9-D30</f>
        <v>1100</v>
      </c>
      <c r="O31" s="53"/>
    </row>
    <row r="32" spans="1:15" s="36" customFormat="1" ht="15" customHeight="1" x14ac:dyDescent="0.25">
      <c r="A32" s="47" t="s">
        <v>53</v>
      </c>
      <c r="B32" s="73">
        <f>(B2-B20)-B30</f>
        <v>-6638</v>
      </c>
      <c r="C32" s="49" t="s">
        <v>53</v>
      </c>
      <c r="D32" s="50">
        <f>(D2-D20)-D30</f>
        <v>8509</v>
      </c>
      <c r="F32" s="51"/>
      <c r="O32" s="53"/>
    </row>
    <row r="33" spans="1:15" s="36" customFormat="1" x14ac:dyDescent="0.2">
      <c r="A33" s="36" t="s">
        <v>54</v>
      </c>
      <c r="B33" s="68">
        <f>B31-B32</f>
        <v>7409</v>
      </c>
      <c r="C33" s="38" t="s">
        <v>54</v>
      </c>
      <c r="D33" s="37">
        <f>D31-D32</f>
        <v>-7409</v>
      </c>
      <c r="O33" s="53"/>
    </row>
    <row r="35" spans="1:15" s="36" customFormat="1" ht="15" customHeight="1" x14ac:dyDescent="0.25">
      <c r="A35" s="36" t="s">
        <v>55</v>
      </c>
      <c r="B35" s="73">
        <f>(B32-B33)+B30</f>
        <v>-13148</v>
      </c>
      <c r="C35" s="38" t="s">
        <v>55</v>
      </c>
      <c r="D35" s="50">
        <f>(D32-D33)+D30</f>
        <v>16488</v>
      </c>
      <c r="O35" s="53"/>
    </row>
  </sheetData>
  <pageMargins left="0.70000000000000007" right="0.70000000000000007" top="1.143700787401575" bottom="1.143700787401575" header="0.74999999999999989" footer="0.74999999999999989"/>
  <pageSetup fitToWidth="0" fitToHeight="0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4"/>
  <sheetViews>
    <sheetView workbookViewId="0"/>
  </sheetViews>
  <sheetFormatPr defaultRowHeight="14.25" x14ac:dyDescent="0.2"/>
  <sheetData>
    <row r="1" spans="1:6" ht="15" x14ac:dyDescent="0.2">
      <c r="A1" s="87"/>
      <c r="B1" s="88" t="s">
        <v>97</v>
      </c>
      <c r="C1" s="89"/>
      <c r="D1" s="89"/>
      <c r="E1" s="89"/>
      <c r="F1" s="90"/>
    </row>
    <row r="2" spans="1:6" ht="15" x14ac:dyDescent="0.2">
      <c r="A2" s="87"/>
      <c r="B2" s="87" t="s">
        <v>98</v>
      </c>
      <c r="C2" s="87" t="s">
        <v>99</v>
      </c>
      <c r="D2" s="87" t="s">
        <v>100</v>
      </c>
      <c r="E2" s="87" t="s">
        <v>101</v>
      </c>
      <c r="F2" s="87" t="s">
        <v>102</v>
      </c>
    </row>
    <row r="3" spans="1:6" ht="15" x14ac:dyDescent="0.2">
      <c r="A3" s="87" t="s">
        <v>103</v>
      </c>
    </row>
    <row r="4" spans="1:6" ht="15" x14ac:dyDescent="0.2">
      <c r="A4" s="87" t="s">
        <v>18</v>
      </c>
      <c r="B4">
        <v>16</v>
      </c>
      <c r="C4">
        <v>1044</v>
      </c>
      <c r="D4">
        <v>65</v>
      </c>
      <c r="E4">
        <v>69</v>
      </c>
      <c r="F4">
        <v>65.25</v>
      </c>
    </row>
    <row r="5" spans="1:6" ht="15" x14ac:dyDescent="0.2">
      <c r="A5" s="87" t="s">
        <v>82</v>
      </c>
      <c r="B5">
        <v>4</v>
      </c>
      <c r="C5">
        <v>9982</v>
      </c>
      <c r="D5">
        <v>2266</v>
      </c>
      <c r="E5">
        <v>2978</v>
      </c>
      <c r="F5">
        <v>2495.5</v>
      </c>
    </row>
    <row r="6" spans="1:6" ht="15" x14ac:dyDescent="0.2">
      <c r="A6" s="87" t="s">
        <v>57</v>
      </c>
      <c r="B6">
        <v>2</v>
      </c>
      <c r="C6">
        <v>852</v>
      </c>
      <c r="D6">
        <v>426</v>
      </c>
      <c r="E6">
        <v>426</v>
      </c>
      <c r="F6">
        <v>426</v>
      </c>
    </row>
    <row r="7" spans="1:6" ht="15" x14ac:dyDescent="0.2">
      <c r="A7" s="87" t="s">
        <v>22</v>
      </c>
      <c r="B7">
        <v>21</v>
      </c>
      <c r="C7">
        <v>1449</v>
      </c>
      <c r="D7">
        <v>69</v>
      </c>
      <c r="E7">
        <v>69</v>
      </c>
      <c r="F7">
        <v>69</v>
      </c>
    </row>
    <row r="8" spans="1:6" ht="15" x14ac:dyDescent="0.2">
      <c r="A8" s="87" t="s">
        <v>70</v>
      </c>
      <c r="B8">
        <v>15</v>
      </c>
      <c r="C8">
        <v>1545</v>
      </c>
      <c r="D8">
        <v>99</v>
      </c>
      <c r="E8">
        <v>109</v>
      </c>
      <c r="F8">
        <v>103</v>
      </c>
    </row>
    <row r="9" spans="1:6" ht="15" x14ac:dyDescent="0.2">
      <c r="A9" s="87" t="s">
        <v>39</v>
      </c>
      <c r="B9">
        <v>21</v>
      </c>
      <c r="C9">
        <v>285705</v>
      </c>
      <c r="D9">
        <v>13431</v>
      </c>
      <c r="E9">
        <v>13811</v>
      </c>
      <c r="F9">
        <v>13605</v>
      </c>
    </row>
    <row r="10" spans="1:6" ht="15" x14ac:dyDescent="0.2">
      <c r="A10" s="87" t="s">
        <v>26</v>
      </c>
      <c r="B10">
        <v>21</v>
      </c>
      <c r="C10">
        <v>11665</v>
      </c>
      <c r="D10">
        <v>0</v>
      </c>
      <c r="E10">
        <v>1000</v>
      </c>
      <c r="F10">
        <v>555.47619047619048</v>
      </c>
    </row>
    <row r="11" spans="1:6" ht="15" x14ac:dyDescent="0.2">
      <c r="A11" s="87" t="s">
        <v>37</v>
      </c>
      <c r="B11">
        <v>21</v>
      </c>
      <c r="C11">
        <v>24918.240000000002</v>
      </c>
      <c r="D11">
        <v>0</v>
      </c>
      <c r="E11">
        <v>2487</v>
      </c>
      <c r="F11">
        <v>1186.5828571428569</v>
      </c>
    </row>
    <row r="12" spans="1:6" ht="15" x14ac:dyDescent="0.2">
      <c r="A12" s="87" t="s">
        <v>33</v>
      </c>
      <c r="B12">
        <v>21</v>
      </c>
      <c r="C12">
        <v>8364</v>
      </c>
      <c r="D12">
        <v>385</v>
      </c>
      <c r="E12">
        <v>434</v>
      </c>
      <c r="F12">
        <v>398.28571428571428</v>
      </c>
    </row>
    <row r="13" spans="1:6" ht="15" x14ac:dyDescent="0.2">
      <c r="A13" s="87" t="s">
        <v>31</v>
      </c>
      <c r="B13">
        <v>21</v>
      </c>
      <c r="C13">
        <v>8253</v>
      </c>
      <c r="D13">
        <v>343</v>
      </c>
      <c r="E13">
        <v>678</v>
      </c>
      <c r="F13">
        <v>393</v>
      </c>
    </row>
    <row r="14" spans="1:6" ht="15" x14ac:dyDescent="0.2">
      <c r="A14" s="87" t="s">
        <v>40</v>
      </c>
      <c r="B14">
        <v>21</v>
      </c>
      <c r="C14">
        <v>3519</v>
      </c>
      <c r="D14">
        <v>159</v>
      </c>
      <c r="E14">
        <v>179</v>
      </c>
      <c r="F14">
        <v>167.57142857142861</v>
      </c>
    </row>
    <row r="15" spans="1:6" ht="15" x14ac:dyDescent="0.2">
      <c r="A15" s="87" t="s">
        <v>15</v>
      </c>
      <c r="B15">
        <v>6</v>
      </c>
      <c r="C15">
        <v>1536</v>
      </c>
      <c r="D15">
        <v>0</v>
      </c>
      <c r="E15">
        <v>349</v>
      </c>
      <c r="F15">
        <v>256</v>
      </c>
    </row>
    <row r="16" spans="1:6" ht="15" x14ac:dyDescent="0.2">
      <c r="A16" s="87" t="s">
        <v>29</v>
      </c>
      <c r="B16">
        <v>2</v>
      </c>
      <c r="C16">
        <v>916</v>
      </c>
      <c r="D16">
        <v>221</v>
      </c>
      <c r="E16">
        <v>695</v>
      </c>
      <c r="F16">
        <v>458</v>
      </c>
    </row>
    <row r="17" spans="1:6" ht="15" x14ac:dyDescent="0.2">
      <c r="A17" s="87" t="s">
        <v>24</v>
      </c>
      <c r="B17">
        <v>3</v>
      </c>
      <c r="C17">
        <v>3659</v>
      </c>
      <c r="D17">
        <v>1190</v>
      </c>
      <c r="E17">
        <v>1249</v>
      </c>
      <c r="F17">
        <v>1219.666666666667</v>
      </c>
    </row>
    <row r="18" spans="1:6" ht="15" x14ac:dyDescent="0.2">
      <c r="A18" s="87" t="s">
        <v>66</v>
      </c>
      <c r="B18">
        <v>18</v>
      </c>
      <c r="C18">
        <v>26948</v>
      </c>
      <c r="D18">
        <v>1400</v>
      </c>
      <c r="E18">
        <v>1948</v>
      </c>
      <c r="F18">
        <v>1497.1111111111111</v>
      </c>
    </row>
    <row r="19" spans="1:6" ht="15" x14ac:dyDescent="0.2">
      <c r="A19" s="87" t="s">
        <v>41</v>
      </c>
      <c r="B19">
        <v>16</v>
      </c>
      <c r="C19">
        <v>24600</v>
      </c>
      <c r="D19">
        <v>0</v>
      </c>
      <c r="E19">
        <v>13600</v>
      </c>
      <c r="F19">
        <v>1537.5</v>
      </c>
    </row>
    <row r="20" spans="1:6" ht="15" x14ac:dyDescent="0.2">
      <c r="A20" s="87" t="s">
        <v>64</v>
      </c>
      <c r="B20">
        <v>19</v>
      </c>
      <c r="C20">
        <v>1273</v>
      </c>
      <c r="D20">
        <v>67</v>
      </c>
      <c r="E20">
        <v>67</v>
      </c>
      <c r="F20">
        <v>67</v>
      </c>
    </row>
    <row r="21" spans="1:6" ht="15" x14ac:dyDescent="0.2">
      <c r="A21" s="87" t="s">
        <v>17</v>
      </c>
      <c r="B21">
        <v>21</v>
      </c>
      <c r="C21">
        <v>11780</v>
      </c>
      <c r="D21">
        <v>209</v>
      </c>
      <c r="E21">
        <v>759</v>
      </c>
      <c r="F21">
        <v>560.95238095238096</v>
      </c>
    </row>
    <row r="22" spans="1:6" ht="15" x14ac:dyDescent="0.2">
      <c r="A22" s="87" t="s">
        <v>38</v>
      </c>
      <c r="B22">
        <v>21</v>
      </c>
      <c r="C22">
        <v>3016</v>
      </c>
      <c r="D22">
        <v>9</v>
      </c>
      <c r="E22">
        <v>466</v>
      </c>
      <c r="F22">
        <v>143.61904761904759</v>
      </c>
    </row>
    <row r="23" spans="1:6" ht="15" x14ac:dyDescent="0.2">
      <c r="A23" s="87" t="s">
        <v>35</v>
      </c>
      <c r="B23">
        <v>21</v>
      </c>
      <c r="C23">
        <v>8115</v>
      </c>
      <c r="D23">
        <v>375</v>
      </c>
      <c r="E23">
        <v>405</v>
      </c>
      <c r="F23">
        <v>386.42857142857139</v>
      </c>
    </row>
    <row r="24" spans="1:6" ht="15" x14ac:dyDescent="0.2">
      <c r="A24" s="87" t="s">
        <v>56</v>
      </c>
      <c r="B24">
        <v>14</v>
      </c>
      <c r="C24">
        <v>6208</v>
      </c>
      <c r="D24">
        <v>0</v>
      </c>
      <c r="E24">
        <v>1464</v>
      </c>
      <c r="F24">
        <v>443.42857142857139</v>
      </c>
    </row>
  </sheetData>
  <mergeCells count="1">
    <mergeCell ref="B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7"/>
  <sheetViews>
    <sheetView tabSelected="1" workbookViewId="0">
      <selection activeCell="O14" sqref="O14"/>
    </sheetView>
  </sheetViews>
  <sheetFormatPr defaultRowHeight="14.25" x14ac:dyDescent="0.2"/>
  <cols>
    <col min="1" max="1" width="26.5" style="36" customWidth="1"/>
    <col min="2" max="2" width="12.375" style="37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024" width="8.75" style="36" customWidth="1"/>
  </cols>
  <sheetData>
    <row r="1" spans="1:8" ht="21.6" customHeight="1" x14ac:dyDescent="0.2">
      <c r="A1" s="39" t="s">
        <v>2</v>
      </c>
      <c r="B1" s="39"/>
      <c r="C1" s="40" t="s">
        <v>4</v>
      </c>
      <c r="D1" s="41"/>
      <c r="F1" s="36" t="s">
        <v>13</v>
      </c>
    </row>
    <row r="2" spans="1:8" ht="15" customHeight="1" x14ac:dyDescent="0.25">
      <c r="A2" s="42" t="s">
        <v>14</v>
      </c>
      <c r="B2" s="43">
        <v>21890</v>
      </c>
      <c r="C2" s="44" t="s">
        <v>14</v>
      </c>
      <c r="D2" s="43">
        <f>2650+10000</f>
        <v>12650</v>
      </c>
      <c r="F2" s="45">
        <f>B2+D2</f>
        <v>34540</v>
      </c>
    </row>
    <row r="3" spans="1:8" ht="15" customHeight="1" x14ac:dyDescent="0.25">
      <c r="A3" s="36" t="s">
        <v>15</v>
      </c>
      <c r="B3" s="37">
        <v>349</v>
      </c>
      <c r="C3" s="38" t="s">
        <v>15</v>
      </c>
      <c r="D3" s="37">
        <v>299</v>
      </c>
      <c r="F3" s="46" t="e">
        <f>(F2-'[1]25e November'!F2)/'[2]25e December'!F2</f>
        <v>#REF!</v>
      </c>
    </row>
    <row r="4" spans="1:8" x14ac:dyDescent="0.2">
      <c r="A4" s="36" t="s">
        <v>17</v>
      </c>
      <c r="B4" s="37">
        <v>638</v>
      </c>
      <c r="C4" s="38" t="s">
        <v>17</v>
      </c>
      <c r="D4" s="37">
        <v>349</v>
      </c>
    </row>
    <row r="5" spans="1:8" x14ac:dyDescent="0.2">
      <c r="A5" s="36" t="s">
        <v>18</v>
      </c>
      <c r="B5" s="37">
        <v>65</v>
      </c>
      <c r="C5" s="38" t="s">
        <v>19</v>
      </c>
      <c r="D5" s="37">
        <v>464</v>
      </c>
      <c r="F5" s="36" t="s">
        <v>20</v>
      </c>
      <c r="H5" s="36" t="s">
        <v>21</v>
      </c>
    </row>
    <row r="6" spans="1:8" ht="15" customHeight="1" x14ac:dyDescent="0.25">
      <c r="A6" s="36" t="s">
        <v>22</v>
      </c>
      <c r="B6" s="37">
        <v>69</v>
      </c>
      <c r="C6" s="38" t="s">
        <v>23</v>
      </c>
      <c r="D6" s="37">
        <v>1325</v>
      </c>
      <c r="F6" s="45">
        <f>D20+B20</f>
        <v>0</v>
      </c>
      <c r="H6" s="45">
        <f>F2-F6</f>
        <v>34540</v>
      </c>
    </row>
    <row r="7" spans="1:8" ht="15" customHeight="1" x14ac:dyDescent="0.25">
      <c r="A7" s="36" t="s">
        <v>24</v>
      </c>
      <c r="B7" s="37">
        <v>1220</v>
      </c>
      <c r="C7" s="38" t="s">
        <v>25</v>
      </c>
      <c r="D7" s="37">
        <v>7000</v>
      </c>
      <c r="F7" s="48" t="e">
        <f>(F6-'[1]25e November'!F6)/F6</f>
        <v>#REF!</v>
      </c>
    </row>
    <row r="8" spans="1:8" x14ac:dyDescent="0.2">
      <c r="A8" s="36" t="s">
        <v>26</v>
      </c>
      <c r="B8" s="37">
        <v>574</v>
      </c>
      <c r="C8" s="38" t="s">
        <v>56</v>
      </c>
      <c r="D8" s="37">
        <f>1200+280+170+250+250</f>
        <v>2150</v>
      </c>
      <c r="H8" s="36" t="s">
        <v>28</v>
      </c>
    </row>
    <row r="9" spans="1:8" ht="15" customHeight="1" x14ac:dyDescent="0.25">
      <c r="A9" s="36" t="s">
        <v>29</v>
      </c>
      <c r="B9" s="37">
        <v>221</v>
      </c>
      <c r="C9" s="38" t="s">
        <v>30</v>
      </c>
      <c r="D9" s="37">
        <v>0</v>
      </c>
      <c r="H9" s="45">
        <f>H6/2</f>
        <v>17270</v>
      </c>
    </row>
    <row r="10" spans="1:8" x14ac:dyDescent="0.2">
      <c r="A10" s="36" t="s">
        <v>31</v>
      </c>
      <c r="B10" s="37">
        <v>343</v>
      </c>
      <c r="C10" s="38" t="s">
        <v>32</v>
      </c>
      <c r="D10" s="37">
        <v>768</v>
      </c>
    </row>
    <row r="11" spans="1:8" x14ac:dyDescent="0.2">
      <c r="A11" s="36" t="s">
        <v>33</v>
      </c>
      <c r="B11" s="37">
        <v>385</v>
      </c>
      <c r="C11" s="38" t="s">
        <v>34</v>
      </c>
      <c r="D11" s="37">
        <v>232</v>
      </c>
    </row>
    <row r="12" spans="1:8" x14ac:dyDescent="0.2">
      <c r="A12" s="36" t="s">
        <v>35</v>
      </c>
      <c r="B12" s="37">
        <f>235+170</f>
        <v>405</v>
      </c>
      <c r="C12" s="38" t="s">
        <v>36</v>
      </c>
    </row>
    <row r="13" spans="1:8" x14ac:dyDescent="0.2">
      <c r="A13" s="36" t="s">
        <v>37</v>
      </c>
      <c r="B13" s="37">
        <v>0</v>
      </c>
    </row>
    <row r="14" spans="1:8" x14ac:dyDescent="0.2">
      <c r="A14" s="36" t="s">
        <v>38</v>
      </c>
      <c r="B14" s="37">
        <v>249</v>
      </c>
    </row>
    <row r="15" spans="1:8" x14ac:dyDescent="0.2">
      <c r="A15" s="36" t="s">
        <v>39</v>
      </c>
      <c r="B15" s="37">
        <v>13444</v>
      </c>
    </row>
    <row r="16" spans="1:8" x14ac:dyDescent="0.2">
      <c r="A16" s="36" t="s">
        <v>40</v>
      </c>
      <c r="B16" s="37">
        <v>159</v>
      </c>
    </row>
    <row r="17" spans="1:8" x14ac:dyDescent="0.2">
      <c r="A17" s="36" t="s">
        <v>57</v>
      </c>
      <c r="B17" s="37">
        <v>426</v>
      </c>
    </row>
    <row r="18" spans="1:8" x14ac:dyDescent="0.2">
      <c r="A18" s="36" t="s">
        <v>41</v>
      </c>
    </row>
    <row r="20" spans="1:8" ht="15" customHeight="1" x14ac:dyDescent="0.2"/>
    <row r="23" spans="1:8" ht="15" x14ac:dyDescent="0.25">
      <c r="A23" s="49" t="s">
        <v>42</v>
      </c>
      <c r="B23" s="50">
        <f>SUM(B3:B18)</f>
        <v>18547</v>
      </c>
      <c r="C23" s="49" t="s">
        <v>42</v>
      </c>
      <c r="D23" s="50">
        <f>SUM(D3:D12)</f>
        <v>12587</v>
      </c>
    </row>
    <row r="24" spans="1:8" x14ac:dyDescent="0.2">
      <c r="A24" s="36" t="s">
        <v>58</v>
      </c>
      <c r="B24" s="37">
        <v>99</v>
      </c>
      <c r="C24" s="38" t="s">
        <v>44</v>
      </c>
      <c r="D24" s="37">
        <v>570</v>
      </c>
    </row>
    <row r="25" spans="1:8" x14ac:dyDescent="0.2">
      <c r="A25" s="36" t="s">
        <v>45</v>
      </c>
      <c r="B25" s="37">
        <v>67</v>
      </c>
    </row>
    <row r="26" spans="1:8" x14ac:dyDescent="0.2">
      <c r="A26" s="36" t="s">
        <v>47</v>
      </c>
      <c r="B26" s="37">
        <v>885</v>
      </c>
      <c r="C26" s="4"/>
    </row>
    <row r="27" spans="1:8" x14ac:dyDescent="0.2">
      <c r="A27" s="36" t="s">
        <v>59</v>
      </c>
      <c r="B27" s="37">
        <v>195</v>
      </c>
    </row>
    <row r="28" spans="1:8" x14ac:dyDescent="0.2">
      <c r="A28" s="36" t="s">
        <v>60</v>
      </c>
      <c r="B28" s="37">
        <v>134</v>
      </c>
    </row>
    <row r="29" spans="1:8" ht="15" customHeight="1" x14ac:dyDescent="0.2">
      <c r="A29" s="36" t="s">
        <v>61</v>
      </c>
      <c r="B29" s="37">
        <v>79</v>
      </c>
    </row>
    <row r="31" spans="1:8" ht="15" customHeight="1" x14ac:dyDescent="0.2"/>
    <row r="32" spans="1:8" ht="15" x14ac:dyDescent="0.25">
      <c r="A32" s="47" t="s">
        <v>51</v>
      </c>
      <c r="B32" s="50">
        <f>SUM(B21:B28)</f>
        <v>19927</v>
      </c>
      <c r="C32" s="49" t="s">
        <v>51</v>
      </c>
      <c r="D32" s="50">
        <f>SUM(D21:D28)</f>
        <v>13157</v>
      </c>
      <c r="H32" s="51"/>
    </row>
    <row r="33" spans="1:11" x14ac:dyDescent="0.2">
      <c r="A33" s="36" t="s">
        <v>52</v>
      </c>
      <c r="B33" s="37">
        <f>H9-B29</f>
        <v>17191</v>
      </c>
      <c r="C33" s="38" t="s">
        <v>52</v>
      </c>
      <c r="D33" s="37">
        <f>H9-D29</f>
        <v>17270</v>
      </c>
    </row>
    <row r="34" spans="1:11" ht="15" customHeight="1" x14ac:dyDescent="0.25">
      <c r="A34" s="47" t="s">
        <v>53</v>
      </c>
      <c r="B34" s="50">
        <f>B2-B20-B29</f>
        <v>21811</v>
      </c>
      <c r="C34" s="49" t="s">
        <v>53</v>
      </c>
      <c r="D34" s="50">
        <f>D2-D20-D29</f>
        <v>12650</v>
      </c>
      <c r="F34" s="51"/>
    </row>
    <row r="35" spans="1:11" x14ac:dyDescent="0.2">
      <c r="A35" s="36" t="s">
        <v>54</v>
      </c>
      <c r="B35" s="37">
        <f>B31-B30</f>
        <v>0</v>
      </c>
      <c r="C35" s="38" t="s">
        <v>54</v>
      </c>
      <c r="D35" s="37">
        <f>D31-D30</f>
        <v>0</v>
      </c>
    </row>
    <row r="36" spans="1:11" x14ac:dyDescent="0.2">
      <c r="K36" s="36">
        <f>14631-16249</f>
        <v>-1618</v>
      </c>
    </row>
    <row r="37" spans="1:11" ht="15" x14ac:dyDescent="0.25">
      <c r="A37" s="36" t="s">
        <v>55</v>
      </c>
      <c r="B37" s="50">
        <f>(B31-B32)+B29</f>
        <v>-19848</v>
      </c>
      <c r="C37" s="38" t="s">
        <v>55</v>
      </c>
      <c r="D37" s="50">
        <f>(D31-D32)+D29</f>
        <v>-13157</v>
      </c>
    </row>
  </sheetData>
  <pageMargins left="0.70000000000000007" right="0.70000000000000007" top="1.143700787401575" bottom="1.143700787401575" header="0.74999999999999989" footer="0.74999999999999989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7"/>
  <sheetViews>
    <sheetView workbookViewId="0">
      <selection activeCell="A13" sqref="A13"/>
    </sheetView>
  </sheetViews>
  <sheetFormatPr defaultRowHeight="14.25" x14ac:dyDescent="0.2"/>
  <cols>
    <col min="1" max="1" width="26.5" style="36" customWidth="1"/>
    <col min="2" max="2" width="12.375" style="37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024" width="8.75" style="36" customWidth="1"/>
  </cols>
  <sheetData>
    <row r="1" spans="1:8" ht="21.6" customHeight="1" x14ac:dyDescent="0.2">
      <c r="A1" s="39" t="s">
        <v>2</v>
      </c>
      <c r="B1" s="39"/>
      <c r="C1" s="40" t="s">
        <v>4</v>
      </c>
      <c r="D1" s="41"/>
      <c r="F1" s="36" t="s">
        <v>13</v>
      </c>
    </row>
    <row r="2" spans="1:8" ht="15" customHeight="1" x14ac:dyDescent="0.25">
      <c r="A2" s="42" t="s">
        <v>14</v>
      </c>
      <c r="B2" s="43">
        <v>23527</v>
      </c>
      <c r="C2" s="44" t="s">
        <v>14</v>
      </c>
      <c r="D2" s="43">
        <v>21750</v>
      </c>
      <c r="F2" s="45">
        <f>B2+D2</f>
        <v>45277</v>
      </c>
    </row>
    <row r="3" spans="1:8" ht="15" customHeight="1" x14ac:dyDescent="0.25">
      <c r="A3" s="36" t="s">
        <v>15</v>
      </c>
      <c r="B3" s="37">
        <v>349</v>
      </c>
      <c r="C3" s="38" t="s">
        <v>15</v>
      </c>
      <c r="D3" s="37">
        <v>299</v>
      </c>
      <c r="F3" s="48" t="e">
        <f>(F2-'[2]25e December'!F2)/F2</f>
        <v>#REF!</v>
      </c>
    </row>
    <row r="4" spans="1:8" x14ac:dyDescent="0.2">
      <c r="A4" s="36" t="s">
        <v>17</v>
      </c>
      <c r="B4" s="37">
        <v>638</v>
      </c>
      <c r="C4" s="38" t="s">
        <v>17</v>
      </c>
      <c r="D4" s="37">
        <v>349</v>
      </c>
    </row>
    <row r="5" spans="1:8" x14ac:dyDescent="0.2">
      <c r="A5" s="36" t="s">
        <v>18</v>
      </c>
      <c r="B5" s="37">
        <v>65</v>
      </c>
      <c r="C5" s="38" t="s">
        <v>19</v>
      </c>
      <c r="D5" s="37">
        <v>480</v>
      </c>
      <c r="F5" s="36" t="s">
        <v>20</v>
      </c>
      <c r="H5" s="36" t="s">
        <v>21</v>
      </c>
    </row>
    <row r="6" spans="1:8" ht="15" customHeight="1" x14ac:dyDescent="0.25">
      <c r="A6" s="36" t="s">
        <v>22</v>
      </c>
      <c r="B6" s="37">
        <v>69</v>
      </c>
      <c r="C6" s="38" t="s">
        <v>23</v>
      </c>
      <c r="D6" s="37">
        <v>1250</v>
      </c>
      <c r="F6" s="45">
        <f>D20+B20</f>
        <v>0</v>
      </c>
      <c r="H6" s="45">
        <f>F2-F6</f>
        <v>45277</v>
      </c>
    </row>
    <row r="7" spans="1:8" ht="15" customHeight="1" x14ac:dyDescent="0.25">
      <c r="A7" s="36" t="s">
        <v>24</v>
      </c>
      <c r="B7" s="37">
        <v>1190</v>
      </c>
      <c r="C7" s="38" t="s">
        <v>25</v>
      </c>
      <c r="D7" s="37">
        <v>7000</v>
      </c>
      <c r="F7" s="46" t="e">
        <f>(F6-'[2]25e December'!F6)/F6</f>
        <v>#REF!</v>
      </c>
    </row>
    <row r="8" spans="1:8" x14ac:dyDescent="0.2">
      <c r="A8" s="36" t="s">
        <v>26</v>
      </c>
      <c r="B8" s="37">
        <v>580</v>
      </c>
      <c r="C8" s="38" t="s">
        <v>56</v>
      </c>
      <c r="D8" s="37">
        <v>200</v>
      </c>
      <c r="H8" s="36" t="s">
        <v>28</v>
      </c>
    </row>
    <row r="9" spans="1:8" ht="15" customHeight="1" x14ac:dyDescent="0.25">
      <c r="A9" s="36" t="s">
        <v>31</v>
      </c>
      <c r="B9" s="37">
        <v>343</v>
      </c>
      <c r="C9" s="38" t="s">
        <v>30</v>
      </c>
      <c r="D9" s="37">
        <v>0</v>
      </c>
      <c r="H9" s="45">
        <f>H6/2</f>
        <v>22638.5</v>
      </c>
    </row>
    <row r="10" spans="1:8" x14ac:dyDescent="0.2">
      <c r="A10" s="36" t="s">
        <v>33</v>
      </c>
      <c r="B10" s="37">
        <v>385</v>
      </c>
      <c r="C10" s="38" t="s">
        <v>32</v>
      </c>
      <c r="D10" s="37">
        <v>770</v>
      </c>
    </row>
    <row r="11" spans="1:8" x14ac:dyDescent="0.2">
      <c r="A11" s="36" t="s">
        <v>35</v>
      </c>
      <c r="B11" s="37">
        <f>235+170</f>
        <v>405</v>
      </c>
      <c r="C11" s="38" t="s">
        <v>34</v>
      </c>
      <c r="D11" s="37">
        <v>145</v>
      </c>
    </row>
    <row r="12" spans="1:8" x14ac:dyDescent="0.2">
      <c r="A12" s="36" t="s">
        <v>37</v>
      </c>
      <c r="B12" s="37">
        <v>1276</v>
      </c>
      <c r="C12" s="4" t="s">
        <v>62</v>
      </c>
      <c r="D12" s="37">
        <v>630</v>
      </c>
    </row>
    <row r="13" spans="1:8" x14ac:dyDescent="0.2">
      <c r="A13" s="36" t="s">
        <v>38</v>
      </c>
      <c r="B13" s="37">
        <v>79</v>
      </c>
      <c r="C13" s="4" t="s">
        <v>63</v>
      </c>
      <c r="D13" s="37">
        <v>600</v>
      </c>
    </row>
    <row r="14" spans="1:8" x14ac:dyDescent="0.2">
      <c r="A14" s="36" t="s">
        <v>64</v>
      </c>
      <c r="B14" s="37">
        <v>67</v>
      </c>
      <c r="C14" s="38" t="s">
        <v>45</v>
      </c>
      <c r="D14" s="37">
        <v>105</v>
      </c>
    </row>
    <row r="15" spans="1:8" x14ac:dyDescent="0.2">
      <c r="A15" s="36" t="s">
        <v>39</v>
      </c>
      <c r="B15" s="37">
        <v>13444</v>
      </c>
      <c r="C15" s="38" t="s">
        <v>36</v>
      </c>
      <c r="D15" s="52">
        <v>1000</v>
      </c>
    </row>
    <row r="16" spans="1:8" x14ac:dyDescent="0.2">
      <c r="A16" s="36" t="s">
        <v>40</v>
      </c>
      <c r="B16" s="37">
        <v>159</v>
      </c>
    </row>
    <row r="17" spans="1:8" x14ac:dyDescent="0.2">
      <c r="A17" s="36" t="s">
        <v>41</v>
      </c>
      <c r="B17" s="37">
        <v>1000</v>
      </c>
      <c r="C17" s="4"/>
    </row>
    <row r="20" spans="1:8" ht="15" customHeight="1" x14ac:dyDescent="0.2"/>
    <row r="23" spans="1:8" ht="15" x14ac:dyDescent="0.25">
      <c r="A23" s="49" t="s">
        <v>42</v>
      </c>
      <c r="B23" s="50">
        <f>SUM(B3:B18)</f>
        <v>20049</v>
      </c>
      <c r="C23" s="49" t="s">
        <v>42</v>
      </c>
      <c r="D23" s="50">
        <f>SUM(D3:D15)</f>
        <v>12828</v>
      </c>
    </row>
    <row r="24" spans="1:8" x14ac:dyDescent="0.2">
      <c r="A24" s="36" t="s">
        <v>58</v>
      </c>
      <c r="B24" s="37">
        <v>99</v>
      </c>
      <c r="C24" s="38" t="s">
        <v>44</v>
      </c>
      <c r="D24" s="37">
        <v>570</v>
      </c>
    </row>
    <row r="25" spans="1:8" x14ac:dyDescent="0.2">
      <c r="A25" s="36" t="s">
        <v>47</v>
      </c>
      <c r="B25" s="37">
        <v>885</v>
      </c>
    </row>
    <row r="26" spans="1:8" x14ac:dyDescent="0.2">
      <c r="A26" s="36" t="s">
        <v>60</v>
      </c>
      <c r="B26" s="37">
        <v>134</v>
      </c>
    </row>
    <row r="27" spans="1:8" x14ac:dyDescent="0.2">
      <c r="A27" s="36" t="s">
        <v>61</v>
      </c>
      <c r="B27" s="37">
        <v>79</v>
      </c>
      <c r="C27" s="4"/>
    </row>
    <row r="28" spans="1:8" x14ac:dyDescent="0.2">
      <c r="A28" t="s">
        <v>65</v>
      </c>
      <c r="B28" s="37">
        <v>139</v>
      </c>
    </row>
    <row r="29" spans="1:8" ht="15" customHeight="1" x14ac:dyDescent="0.2"/>
    <row r="31" spans="1:8" ht="15" customHeight="1" x14ac:dyDescent="0.2"/>
    <row r="32" spans="1:8" ht="15" x14ac:dyDescent="0.25">
      <c r="A32" s="47" t="s">
        <v>51</v>
      </c>
      <c r="B32" s="50">
        <f>SUM(B21:B28)</f>
        <v>21385</v>
      </c>
      <c r="C32" s="49" t="s">
        <v>51</v>
      </c>
      <c r="D32" s="50">
        <f>SUM(D21:D28)</f>
        <v>13398</v>
      </c>
      <c r="H32" s="51"/>
    </row>
    <row r="33" spans="1:6" x14ac:dyDescent="0.2">
      <c r="A33" s="36" t="s">
        <v>52</v>
      </c>
      <c r="B33" s="37">
        <f>H9-B29</f>
        <v>22638.5</v>
      </c>
      <c r="C33" s="38" t="s">
        <v>52</v>
      </c>
      <c r="D33" s="37">
        <f>H9-D29</f>
        <v>22638.5</v>
      </c>
    </row>
    <row r="34" spans="1:6" ht="15" customHeight="1" x14ac:dyDescent="0.25">
      <c r="A34" s="47" t="s">
        <v>53</v>
      </c>
      <c r="B34" s="50">
        <f>(B2-B20)-B29</f>
        <v>23527</v>
      </c>
      <c r="C34" s="49" t="s">
        <v>53</v>
      </c>
      <c r="D34" s="50">
        <f>(D2-D20)-D29</f>
        <v>21750</v>
      </c>
      <c r="F34" s="51"/>
    </row>
    <row r="35" spans="1:6" x14ac:dyDescent="0.2">
      <c r="A35" s="36" t="s">
        <v>54</v>
      </c>
      <c r="B35" s="37">
        <f>B31-B30</f>
        <v>0</v>
      </c>
      <c r="C35" s="38" t="s">
        <v>54</v>
      </c>
      <c r="D35" s="37">
        <f>D31-D30</f>
        <v>0</v>
      </c>
    </row>
    <row r="37" spans="1:6" ht="15" x14ac:dyDescent="0.25">
      <c r="A37" s="36" t="s">
        <v>55</v>
      </c>
      <c r="B37" s="50">
        <f>(B31-B32)+B29</f>
        <v>-21385</v>
      </c>
      <c r="C37" s="38" t="s">
        <v>55</v>
      </c>
      <c r="D37" s="50">
        <f>(D31-D32)+D29</f>
        <v>-13398</v>
      </c>
    </row>
  </sheetData>
  <pageMargins left="0.70000000000000007" right="0.70000000000000007" top="1.143700787401575" bottom="1.143700787401575" header="0.74999999999999989" footer="0.74999999999999989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7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37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54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43">
        <v>23527</v>
      </c>
      <c r="C2" s="44" t="s">
        <v>14</v>
      </c>
      <c r="D2" s="43">
        <f>19000+1050+560+2650</f>
        <v>23260</v>
      </c>
      <c r="F2" s="45">
        <f>B2+D2</f>
        <v>46787</v>
      </c>
    </row>
    <row r="3" spans="1:17" ht="15" customHeight="1" x14ac:dyDescent="0.25">
      <c r="A3" s="56" t="s">
        <v>15</v>
      </c>
      <c r="B3" s="57">
        <v>349</v>
      </c>
      <c r="C3" s="58" t="s">
        <v>15</v>
      </c>
      <c r="D3" s="57">
        <v>299</v>
      </c>
      <c r="F3" s="48" t="e">
        <f>(F2-'[3]25e Januari'!F2)/F2</f>
        <v>#REF!</v>
      </c>
    </row>
    <row r="4" spans="1:17" x14ac:dyDescent="0.2">
      <c r="A4" s="36" t="s">
        <v>17</v>
      </c>
      <c r="B4" s="37">
        <v>388</v>
      </c>
      <c r="C4" s="38" t="s">
        <v>17</v>
      </c>
      <c r="D4" s="37">
        <v>349</v>
      </c>
    </row>
    <row r="5" spans="1:17" x14ac:dyDescent="0.2">
      <c r="A5" s="36" t="s">
        <v>22</v>
      </c>
      <c r="B5" s="37">
        <v>69</v>
      </c>
      <c r="C5" s="38" t="s">
        <v>19</v>
      </c>
      <c r="D5" s="37">
        <f>162+309</f>
        <v>471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37">
        <v>1400</v>
      </c>
      <c r="C6" s="38" t="s">
        <v>23</v>
      </c>
      <c r="D6" s="37">
        <v>1233</v>
      </c>
      <c r="F6" s="45">
        <f>D20+B20</f>
        <v>0</v>
      </c>
      <c r="H6" s="45">
        <f>F2-F6</f>
        <v>46787</v>
      </c>
      <c r="P6" s="53"/>
      <c r="Q6" s="59"/>
    </row>
    <row r="7" spans="1:17" ht="15" customHeight="1" x14ac:dyDescent="0.25">
      <c r="A7" s="36" t="s">
        <v>26</v>
      </c>
      <c r="B7" s="37">
        <v>500</v>
      </c>
      <c r="C7" s="38" t="s">
        <v>25</v>
      </c>
      <c r="D7" s="37">
        <v>7000</v>
      </c>
      <c r="F7" s="46" t="e">
        <f>(F6-'[3]25e Januari'!F6)/F6</f>
        <v>#REF!</v>
      </c>
      <c r="P7" s="53"/>
      <c r="Q7" s="59"/>
    </row>
    <row r="8" spans="1:17" x14ac:dyDescent="0.2">
      <c r="A8" s="36" t="s">
        <v>31</v>
      </c>
      <c r="B8" s="37">
        <v>343</v>
      </c>
      <c r="C8" s="38" t="s">
        <v>56</v>
      </c>
      <c r="D8" s="37">
        <v>600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37">
        <v>385</v>
      </c>
      <c r="C9" s="38" t="s">
        <v>30</v>
      </c>
      <c r="D9" s="37">
        <v>1005</v>
      </c>
      <c r="H9" s="45">
        <f>H6/2</f>
        <v>23393.5</v>
      </c>
      <c r="P9" s="53"/>
      <c r="Q9" s="59"/>
    </row>
    <row r="10" spans="1:17" x14ac:dyDescent="0.2">
      <c r="A10" s="36" t="s">
        <v>35</v>
      </c>
      <c r="B10" s="37">
        <f>235+170</f>
        <v>405</v>
      </c>
      <c r="C10" s="38" t="s">
        <v>32</v>
      </c>
      <c r="D10" s="37">
        <v>768</v>
      </c>
      <c r="P10" s="53"/>
      <c r="Q10" s="59"/>
    </row>
    <row r="11" spans="1:17" x14ac:dyDescent="0.2">
      <c r="A11" s="36" t="s">
        <v>37</v>
      </c>
      <c r="B11" s="37">
        <v>0</v>
      </c>
      <c r="C11" s="38" t="s">
        <v>34</v>
      </c>
      <c r="D11" s="37">
        <v>145</v>
      </c>
      <c r="P11" s="53"/>
      <c r="Q11" s="59"/>
    </row>
    <row r="12" spans="1:17" x14ac:dyDescent="0.2">
      <c r="A12" s="36" t="s">
        <v>38</v>
      </c>
      <c r="B12" s="37">
        <v>9</v>
      </c>
      <c r="C12" s="1" t="s">
        <v>62</v>
      </c>
      <c r="D12" s="37">
        <v>628</v>
      </c>
      <c r="P12" s="53"/>
      <c r="Q12" s="59"/>
    </row>
    <row r="13" spans="1:17" x14ac:dyDescent="0.2">
      <c r="A13" s="36" t="s">
        <v>64</v>
      </c>
      <c r="B13" s="37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37">
        <v>13470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37">
        <v>159</v>
      </c>
      <c r="C15" s="38" t="s">
        <v>36</v>
      </c>
      <c r="D15" s="37">
        <v>1000</v>
      </c>
      <c r="P15" s="53"/>
      <c r="Q15" s="59"/>
    </row>
    <row r="16" spans="1:17" x14ac:dyDescent="0.2">
      <c r="A16" s="36" t="s">
        <v>41</v>
      </c>
      <c r="B16" s="37">
        <v>1000</v>
      </c>
      <c r="O16" s="36"/>
    </row>
    <row r="17" spans="1:8" s="36" customFormat="1" x14ac:dyDescent="0.2">
      <c r="C17" s="38"/>
      <c r="D17" s="37"/>
    </row>
    <row r="18" spans="1:8" s="36" customFormat="1" x14ac:dyDescent="0.2">
      <c r="B18" s="37"/>
      <c r="C18" s="38"/>
      <c r="D18" s="37"/>
    </row>
    <row r="19" spans="1:8" s="36" customFormat="1" x14ac:dyDescent="0.2">
      <c r="B19" s="37"/>
      <c r="C19" s="38"/>
      <c r="D19" s="37"/>
    </row>
    <row r="20" spans="1:8" s="36" customFormat="1" ht="15" customHeight="1" x14ac:dyDescent="0.2"/>
    <row r="21" spans="1:8" s="36" customFormat="1" x14ac:dyDescent="0.2"/>
    <row r="22" spans="1:8" s="36" customFormat="1" x14ac:dyDescent="0.2"/>
    <row r="23" spans="1:8" s="36" customFormat="1" ht="15" x14ac:dyDescent="0.25">
      <c r="A23" s="49" t="s">
        <v>42</v>
      </c>
      <c r="B23" s="50">
        <f>SUM(B3:B17)</f>
        <v>18544</v>
      </c>
      <c r="C23" s="49" t="s">
        <v>42</v>
      </c>
      <c r="D23" s="50">
        <f>SUM(D3:D15)</f>
        <v>14398</v>
      </c>
    </row>
    <row r="24" spans="1:8" s="36" customFormat="1" x14ac:dyDescent="0.2">
      <c r="A24" s="36" t="s">
        <v>58</v>
      </c>
      <c r="B24" s="37">
        <v>99</v>
      </c>
      <c r="C24" s="38" t="s">
        <v>44</v>
      </c>
      <c r="D24" s="37">
        <v>570</v>
      </c>
    </row>
    <row r="25" spans="1:8" s="36" customFormat="1" x14ac:dyDescent="0.2">
      <c r="A25" s="36" t="s">
        <v>67</v>
      </c>
      <c r="B25" s="37">
        <v>145</v>
      </c>
      <c r="C25" s="38"/>
      <c r="D25" s="37"/>
    </row>
    <row r="26" spans="1:8" s="36" customFormat="1" x14ac:dyDescent="0.2">
      <c r="B26" s="37"/>
      <c r="C26" s="1"/>
      <c r="D26" s="37"/>
    </row>
    <row r="27" spans="1:8" s="36" customFormat="1" x14ac:dyDescent="0.2">
      <c r="C27" s="60"/>
    </row>
    <row r="28" spans="1:8" s="36" customFormat="1" x14ac:dyDescent="0.2">
      <c r="C28" s="38"/>
      <c r="D28" s="37"/>
    </row>
    <row r="29" spans="1:8" ht="15" customHeight="1" x14ac:dyDescent="0.2"/>
    <row r="31" spans="1:8" ht="15" customHeight="1" x14ac:dyDescent="0.2"/>
    <row r="32" spans="1:8" ht="15" x14ac:dyDescent="0.25">
      <c r="A32" s="47" t="s">
        <v>51</v>
      </c>
      <c r="B32" s="50">
        <f>SUM(B21:B25)</f>
        <v>18788</v>
      </c>
      <c r="C32" s="49" t="s">
        <v>51</v>
      </c>
      <c r="D32" s="50">
        <f>SUM(D21:D25)</f>
        <v>14968</v>
      </c>
      <c r="H32" s="51"/>
    </row>
    <row r="33" spans="1:6" x14ac:dyDescent="0.2">
      <c r="A33" s="36" t="s">
        <v>52</v>
      </c>
      <c r="B33" s="37">
        <f>H9-B29</f>
        <v>23393.5</v>
      </c>
      <c r="C33" s="38" t="s">
        <v>52</v>
      </c>
      <c r="D33" s="37">
        <f>H9-D29</f>
        <v>23393.5</v>
      </c>
    </row>
    <row r="34" spans="1:6" ht="15" customHeight="1" x14ac:dyDescent="0.25">
      <c r="A34" s="47" t="s">
        <v>53</v>
      </c>
      <c r="B34" s="50">
        <f>(B2-B20)-B29</f>
        <v>23527</v>
      </c>
      <c r="C34" s="49" t="s">
        <v>53</v>
      </c>
      <c r="D34" s="50">
        <f>(D2-D20)-D29</f>
        <v>23260</v>
      </c>
      <c r="F34" s="51"/>
    </row>
    <row r="35" spans="1:6" x14ac:dyDescent="0.2">
      <c r="A35" s="36" t="s">
        <v>54</v>
      </c>
      <c r="B35" s="37">
        <f>B31-B30</f>
        <v>0</v>
      </c>
      <c r="C35" s="38" t="s">
        <v>54</v>
      </c>
      <c r="D35" s="37">
        <f>D31-D30</f>
        <v>0</v>
      </c>
    </row>
    <row r="37" spans="1:6" ht="15" x14ac:dyDescent="0.25">
      <c r="A37" s="36" t="s">
        <v>55</v>
      </c>
      <c r="B37" s="50">
        <f>(B31-B32)+B29</f>
        <v>-18788</v>
      </c>
      <c r="C37" s="38" t="s">
        <v>55</v>
      </c>
      <c r="D37" s="50">
        <f>(D31-D32)+D29</f>
        <v>-14968</v>
      </c>
    </row>
  </sheetData>
  <pageMargins left="0.70000000000000007" right="0.70000000000000007" top="1.143700787401575" bottom="1.143700787401575" header="0.74999999999999989" footer="0.74999999999999989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2"/>
  <sheetViews>
    <sheetView topLeftCell="A2"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37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54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43">
        <v>23527</v>
      </c>
      <c r="C2" s="44" t="s">
        <v>14</v>
      </c>
      <c r="D2" s="43">
        <f>20347+2650+247</f>
        <v>23244</v>
      </c>
      <c r="F2" s="45">
        <f>B2+D2</f>
        <v>46771</v>
      </c>
    </row>
    <row r="3" spans="1:17" ht="15" customHeight="1" x14ac:dyDescent="0.25">
      <c r="A3" s="56" t="s">
        <v>15</v>
      </c>
      <c r="B3" s="57">
        <v>140</v>
      </c>
      <c r="C3" s="58" t="s">
        <v>15</v>
      </c>
      <c r="D3" s="57">
        <v>166</v>
      </c>
      <c r="F3" s="61" t="e">
        <f>(F2-'[4]25e Februari'!F2)/F2</f>
        <v>#REF!</v>
      </c>
    </row>
    <row r="4" spans="1:17" x14ac:dyDescent="0.2">
      <c r="A4" s="36" t="s">
        <v>17</v>
      </c>
      <c r="B4" s="37">
        <v>388</v>
      </c>
      <c r="C4" s="38" t="s">
        <v>17</v>
      </c>
      <c r="D4" s="37">
        <v>349</v>
      </c>
    </row>
    <row r="5" spans="1:17" x14ac:dyDescent="0.2">
      <c r="A5" s="36" t="s">
        <v>22</v>
      </c>
      <c r="B5" s="37">
        <v>69</v>
      </c>
      <c r="C5" s="38" t="s">
        <v>19</v>
      </c>
      <c r="D5" s="37">
        <v>412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37">
        <f>1400+548</f>
        <v>1948</v>
      </c>
      <c r="C6" s="38" t="s">
        <v>23</v>
      </c>
      <c r="D6" s="37">
        <v>1233</v>
      </c>
      <c r="F6" s="45">
        <f>D20+B20</f>
        <v>0</v>
      </c>
      <c r="H6" s="45">
        <f>F2-F6</f>
        <v>46771</v>
      </c>
      <c r="P6" s="53"/>
      <c r="Q6" s="59"/>
    </row>
    <row r="7" spans="1:17" ht="15" customHeight="1" x14ac:dyDescent="0.25">
      <c r="A7" s="36" t="s">
        <v>26</v>
      </c>
      <c r="B7" s="37">
        <v>618</v>
      </c>
      <c r="C7" s="38" t="s">
        <v>25</v>
      </c>
      <c r="D7" s="37">
        <v>6500</v>
      </c>
      <c r="F7" s="46" t="e">
        <f>(F6-'[4]25e Februari'!F6)/F6</f>
        <v>#REF!</v>
      </c>
      <c r="P7" s="53"/>
      <c r="Q7" s="59"/>
    </row>
    <row r="8" spans="1:17" x14ac:dyDescent="0.2">
      <c r="A8" s="36" t="s">
        <v>31</v>
      </c>
      <c r="B8" s="37">
        <v>343</v>
      </c>
      <c r="C8" s="38" t="s">
        <v>56</v>
      </c>
      <c r="D8" s="37">
        <v>500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37">
        <v>385</v>
      </c>
      <c r="C9" s="38" t="s">
        <v>30</v>
      </c>
      <c r="D9" s="37">
        <v>0</v>
      </c>
      <c r="H9" s="45">
        <f>H6/2</f>
        <v>23385.5</v>
      </c>
      <c r="P9" s="53"/>
      <c r="Q9" s="59"/>
    </row>
    <row r="10" spans="1:17" x14ac:dyDescent="0.2">
      <c r="A10" s="36" t="s">
        <v>35</v>
      </c>
      <c r="B10" s="37">
        <f>235+170</f>
        <v>405</v>
      </c>
      <c r="C10" s="38" t="s">
        <v>32</v>
      </c>
      <c r="D10" s="37">
        <v>439</v>
      </c>
      <c r="P10" s="53"/>
      <c r="Q10" s="59"/>
    </row>
    <row r="11" spans="1:17" x14ac:dyDescent="0.2">
      <c r="A11" s="36" t="s">
        <v>37</v>
      </c>
      <c r="B11" s="37">
        <v>782</v>
      </c>
      <c r="C11" s="38" t="s">
        <v>34</v>
      </c>
      <c r="D11" s="37">
        <v>145</v>
      </c>
      <c r="P11" s="53"/>
      <c r="Q11" s="59"/>
    </row>
    <row r="12" spans="1:17" x14ac:dyDescent="0.2">
      <c r="A12" s="36" t="s">
        <v>38</v>
      </c>
      <c r="B12" s="37">
        <v>61</v>
      </c>
      <c r="C12" s="1" t="s">
        <v>62</v>
      </c>
      <c r="D12" s="37">
        <v>628</v>
      </c>
      <c r="P12" s="53"/>
      <c r="Q12" s="59"/>
    </row>
    <row r="13" spans="1:17" x14ac:dyDescent="0.2">
      <c r="A13" s="36" t="s">
        <v>64</v>
      </c>
      <c r="B13" s="37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37">
        <v>13496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37">
        <v>159</v>
      </c>
      <c r="C15" s="38" t="s">
        <v>36</v>
      </c>
      <c r="D15" s="37">
        <v>1000</v>
      </c>
      <c r="P15" s="53"/>
      <c r="Q15" s="59"/>
    </row>
    <row r="16" spans="1:17" x14ac:dyDescent="0.2">
      <c r="A16" s="36" t="s">
        <v>57</v>
      </c>
      <c r="B16" s="37">
        <v>426</v>
      </c>
      <c r="C16" s="38" t="s">
        <v>68</v>
      </c>
      <c r="D16" s="37">
        <v>600</v>
      </c>
      <c r="O16" s="36"/>
    </row>
    <row r="17" spans="1:8" s="36" customFormat="1" x14ac:dyDescent="0.2">
      <c r="A17" s="36" t="s">
        <v>41</v>
      </c>
      <c r="B17" s="37">
        <v>1000</v>
      </c>
      <c r="C17" s="38"/>
      <c r="D17" s="37"/>
    </row>
    <row r="18" spans="1:8" s="36" customFormat="1" x14ac:dyDescent="0.2">
      <c r="B18" s="37"/>
      <c r="C18" s="38"/>
      <c r="D18" s="37"/>
    </row>
    <row r="19" spans="1:8" s="36" customFormat="1" x14ac:dyDescent="0.2">
      <c r="B19" s="37"/>
      <c r="C19" s="38"/>
      <c r="D19" s="37"/>
    </row>
    <row r="20" spans="1:8" s="36" customFormat="1" ht="15" customHeight="1" x14ac:dyDescent="0.2"/>
    <row r="21" spans="1:8" s="36" customFormat="1" x14ac:dyDescent="0.2"/>
    <row r="22" spans="1:8" s="36" customFormat="1" x14ac:dyDescent="0.2"/>
    <row r="23" spans="1:8" s="36" customFormat="1" ht="15" x14ac:dyDescent="0.25">
      <c r="A23" s="49" t="s">
        <v>42</v>
      </c>
      <c r="B23" s="50">
        <f>SUM(B3:B17)</f>
        <v>20287</v>
      </c>
      <c r="C23" s="49" t="s">
        <v>42</v>
      </c>
      <c r="D23" s="50">
        <f>SUM(D3:D16)</f>
        <v>12872</v>
      </c>
    </row>
    <row r="24" spans="1:8" s="36" customFormat="1" ht="15" customHeight="1" x14ac:dyDescent="0.2">
      <c r="A24" s="36" t="s">
        <v>58</v>
      </c>
      <c r="B24" s="37">
        <v>99</v>
      </c>
      <c r="C24" s="38" t="s">
        <v>44</v>
      </c>
      <c r="D24" s="37">
        <v>570</v>
      </c>
    </row>
    <row r="25" spans="1:8" s="36" customFormat="1" x14ac:dyDescent="0.2">
      <c r="A25" s="36" t="s">
        <v>67</v>
      </c>
      <c r="B25" s="37">
        <v>145</v>
      </c>
      <c r="C25" s="38"/>
      <c r="D25" s="37"/>
    </row>
    <row r="26" spans="1:8" s="36" customFormat="1" x14ac:dyDescent="0.2">
      <c r="A26" s="36" t="s">
        <v>47</v>
      </c>
      <c r="B26" s="37">
        <v>748</v>
      </c>
      <c r="C26" s="38"/>
      <c r="D26" s="37"/>
    </row>
    <row r="27" spans="1:8" s="36" customFormat="1" ht="15" x14ac:dyDescent="0.25">
      <c r="C27" s="60"/>
      <c r="H27" s="45"/>
    </row>
    <row r="28" spans="1:8" s="36" customFormat="1" x14ac:dyDescent="0.2">
      <c r="B28" s="37"/>
      <c r="C28" s="1"/>
      <c r="D28" s="37"/>
    </row>
    <row r="29" spans="1:8" ht="15" customHeight="1" x14ac:dyDescent="0.2"/>
    <row r="31" spans="1:8" ht="15" customHeight="1" x14ac:dyDescent="0.2"/>
    <row r="32" spans="1:8" ht="15" x14ac:dyDescent="0.25">
      <c r="A32" s="47" t="s">
        <v>51</v>
      </c>
      <c r="B32" s="50">
        <f>SUM(B21:B26)</f>
        <v>21279</v>
      </c>
      <c r="C32" s="49" t="s">
        <v>51</v>
      </c>
      <c r="D32" s="50">
        <f>SUM(D21:D26)</f>
        <v>13442</v>
      </c>
      <c r="H32" s="51"/>
    </row>
    <row r="33" spans="1:6" x14ac:dyDescent="0.2">
      <c r="A33" s="36" t="s">
        <v>52</v>
      </c>
      <c r="B33" s="37">
        <f>H9-B29</f>
        <v>23385.5</v>
      </c>
      <c r="C33" s="38" t="s">
        <v>52</v>
      </c>
      <c r="D33" s="37">
        <f>H9-D29</f>
        <v>23385.5</v>
      </c>
    </row>
    <row r="34" spans="1:6" ht="15" customHeight="1" x14ac:dyDescent="0.25">
      <c r="A34" s="47" t="s">
        <v>53</v>
      </c>
      <c r="B34" s="50">
        <f>(B2-B20)-B29</f>
        <v>23527</v>
      </c>
      <c r="C34" s="49" t="s">
        <v>53</v>
      </c>
      <c r="D34" s="50">
        <f>(D2-D20)-D29</f>
        <v>23244</v>
      </c>
      <c r="F34" s="51"/>
    </row>
    <row r="35" spans="1:6" x14ac:dyDescent="0.2">
      <c r="A35" s="36" t="s">
        <v>54</v>
      </c>
      <c r="B35" s="37">
        <f>B31-B30</f>
        <v>0</v>
      </c>
      <c r="C35" s="38" t="s">
        <v>54</v>
      </c>
      <c r="D35" s="37">
        <f>D31-D30</f>
        <v>0</v>
      </c>
    </row>
    <row r="37" spans="1:6" ht="15" x14ac:dyDescent="0.25">
      <c r="A37" s="36" t="s">
        <v>55</v>
      </c>
      <c r="B37" s="50">
        <f>(B31-B32)+B29</f>
        <v>-21279</v>
      </c>
      <c r="C37" s="38" t="s">
        <v>55</v>
      </c>
      <c r="D37" s="50">
        <f>(D31-D32)+D29</f>
        <v>-13442</v>
      </c>
    </row>
    <row r="42" spans="1:6" x14ac:dyDescent="0.2">
      <c r="F42" s="36" t="s">
        <v>69</v>
      </c>
    </row>
  </sheetData>
  <pageMargins left="0.70000000000000007" right="0.70000000000000007" top="1.143700787401575" bottom="1.143700787401575" header="0.74999999999999989" footer="0.74999999999999989"/>
  <pageSetup paperSize="0" fitToWidth="0" fitToHeight="0" orientation="portrait" horizontalDpi="0" verticalDpi="0" copie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7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37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54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43">
        <v>48568</v>
      </c>
      <c r="C2" s="44" t="s">
        <v>14</v>
      </c>
      <c r="D2" s="43">
        <f>17500+1134+660+2650</f>
        <v>21944</v>
      </c>
      <c r="F2" s="45">
        <f>B2+D2</f>
        <v>70512</v>
      </c>
    </row>
    <row r="3" spans="1:17" ht="15" customHeight="1" x14ac:dyDescent="0.25">
      <c r="A3" s="56" t="s">
        <v>15</v>
      </c>
      <c r="B3" s="57">
        <v>0</v>
      </c>
      <c r="C3" s="58" t="s">
        <v>15</v>
      </c>
      <c r="D3" s="57">
        <v>0</v>
      </c>
      <c r="F3" s="48" t="e">
        <f>(F2-'[5]25e Mars'!F2)/F2</f>
        <v>#REF!</v>
      </c>
    </row>
    <row r="4" spans="1:17" x14ac:dyDescent="0.2">
      <c r="A4" s="36" t="s">
        <v>17</v>
      </c>
      <c r="B4" s="37">
        <v>388</v>
      </c>
      <c r="C4" s="38" t="s">
        <v>17</v>
      </c>
      <c r="D4" s="37">
        <v>349</v>
      </c>
    </row>
    <row r="5" spans="1:17" x14ac:dyDescent="0.2">
      <c r="A5" s="36" t="s">
        <v>22</v>
      </c>
      <c r="B5" s="37">
        <v>69</v>
      </c>
      <c r="C5" s="38" t="s">
        <v>19</v>
      </c>
      <c r="D5" s="37">
        <v>432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37">
        <v>1400</v>
      </c>
      <c r="C6" s="38" t="s">
        <v>23</v>
      </c>
      <c r="D6" s="37">
        <v>1233</v>
      </c>
      <c r="F6" s="45">
        <f>D20+B20</f>
        <v>0</v>
      </c>
      <c r="H6" s="45">
        <f>F2-F6</f>
        <v>70512</v>
      </c>
      <c r="P6" s="53"/>
      <c r="Q6" s="59"/>
    </row>
    <row r="7" spans="1:17" ht="15" customHeight="1" x14ac:dyDescent="0.25">
      <c r="A7" s="36" t="s">
        <v>26</v>
      </c>
      <c r="B7" s="37">
        <v>1000</v>
      </c>
      <c r="C7" s="38" t="s">
        <v>25</v>
      </c>
      <c r="D7" s="37">
        <v>7000</v>
      </c>
      <c r="F7" s="46" t="e">
        <f>(F6-'[5]25e Mars'!F6)/F6</f>
        <v>#REF!</v>
      </c>
      <c r="P7" s="53"/>
      <c r="Q7" s="59"/>
    </row>
    <row r="8" spans="1:17" x14ac:dyDescent="0.2">
      <c r="A8" s="36" t="s">
        <v>31</v>
      </c>
      <c r="B8" s="37">
        <v>343</v>
      </c>
      <c r="C8" s="38" t="s">
        <v>56</v>
      </c>
      <c r="D8" s="37">
        <f>319</f>
        <v>319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37">
        <v>385</v>
      </c>
      <c r="C9" s="38" t="s">
        <v>30</v>
      </c>
      <c r="D9" s="37">
        <v>0</v>
      </c>
      <c r="H9" s="45">
        <f>H6/2</f>
        <v>35256</v>
      </c>
      <c r="P9" s="53"/>
      <c r="Q9" s="59"/>
    </row>
    <row r="10" spans="1:17" x14ac:dyDescent="0.2">
      <c r="A10" s="36" t="s">
        <v>35</v>
      </c>
      <c r="B10" s="37">
        <f>235+170</f>
        <v>405</v>
      </c>
      <c r="C10" s="38" t="s">
        <v>32</v>
      </c>
      <c r="D10" s="37">
        <v>439</v>
      </c>
      <c r="P10" s="53"/>
      <c r="Q10" s="59"/>
    </row>
    <row r="11" spans="1:17" x14ac:dyDescent="0.2">
      <c r="A11" s="36" t="s">
        <v>37</v>
      </c>
      <c r="B11" s="37">
        <v>1391.24</v>
      </c>
      <c r="C11" s="38" t="s">
        <v>34</v>
      </c>
      <c r="D11" s="37">
        <v>145</v>
      </c>
      <c r="P11" s="53"/>
      <c r="Q11" s="59"/>
    </row>
    <row r="12" spans="1:17" x14ac:dyDescent="0.2">
      <c r="A12" s="36" t="s">
        <v>38</v>
      </c>
      <c r="B12" s="37">
        <v>18</v>
      </c>
      <c r="C12" s="1" t="s">
        <v>62</v>
      </c>
      <c r="D12" s="37">
        <v>628</v>
      </c>
      <c r="P12" s="53"/>
      <c r="Q12" s="59"/>
    </row>
    <row r="13" spans="1:17" x14ac:dyDescent="0.2">
      <c r="A13" s="36" t="s">
        <v>64</v>
      </c>
      <c r="B13" s="37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37">
        <v>13563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37">
        <v>159</v>
      </c>
      <c r="C15" s="38" t="s">
        <v>36</v>
      </c>
      <c r="D15" s="37">
        <v>1000</v>
      </c>
      <c r="P15" s="53"/>
      <c r="Q15" s="59"/>
    </row>
    <row r="16" spans="1:17" x14ac:dyDescent="0.2">
      <c r="A16" s="36" t="s">
        <v>41</v>
      </c>
      <c r="B16" s="37">
        <v>4000</v>
      </c>
      <c r="C16" s="38" t="s">
        <v>68</v>
      </c>
      <c r="D16" s="37">
        <v>500</v>
      </c>
      <c r="O16" s="36"/>
    </row>
    <row r="17" spans="1:15" s="36" customFormat="1" x14ac:dyDescent="0.2">
      <c r="C17" s="38"/>
      <c r="D17" s="37"/>
    </row>
    <row r="18" spans="1:15" s="36" customFormat="1" x14ac:dyDescent="0.2">
      <c r="B18" s="37"/>
      <c r="C18" s="38"/>
      <c r="D18" s="37"/>
    </row>
    <row r="19" spans="1:15" s="36" customFormat="1" x14ac:dyDescent="0.2">
      <c r="B19" s="37"/>
      <c r="C19" s="38"/>
      <c r="D19" s="37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50">
        <f>SUM(B3:B17)</f>
        <v>23188.239999999998</v>
      </c>
      <c r="C23" s="49" t="s">
        <v>42</v>
      </c>
      <c r="D23" s="50">
        <f>SUM(D3:D16)</f>
        <v>12945</v>
      </c>
    </row>
    <row r="24" spans="1:15" s="36" customFormat="1" x14ac:dyDescent="0.2">
      <c r="A24" s="36" t="s">
        <v>58</v>
      </c>
      <c r="B24" s="37">
        <v>99</v>
      </c>
      <c r="C24" s="38" t="s">
        <v>44</v>
      </c>
      <c r="D24" s="37">
        <v>570</v>
      </c>
    </row>
    <row r="25" spans="1:15" s="36" customFormat="1" x14ac:dyDescent="0.2">
      <c r="A25" s="36" t="s">
        <v>67</v>
      </c>
      <c r="B25" s="37">
        <v>145</v>
      </c>
      <c r="C25" s="38"/>
      <c r="D25" s="37"/>
    </row>
    <row r="26" spans="1:15" s="36" customFormat="1" x14ac:dyDescent="0.2">
      <c r="A26" s="36" t="s">
        <v>47</v>
      </c>
      <c r="B26" s="37">
        <v>880</v>
      </c>
      <c r="C26" s="38"/>
      <c r="D26" s="37"/>
    </row>
    <row r="27" spans="1:15" s="36" customFormat="1" x14ac:dyDescent="0.2">
      <c r="C27" s="60"/>
      <c r="H27" s="62"/>
      <c r="I27" s="63"/>
    </row>
    <row r="28" spans="1:15" s="36" customFormat="1" x14ac:dyDescent="0.2">
      <c r="B28" s="37"/>
      <c r="C28" s="1"/>
      <c r="D28" s="37"/>
      <c r="H28" s="64"/>
      <c r="I28" s="63"/>
    </row>
    <row r="29" spans="1:15" s="36" customFormat="1" ht="15" customHeight="1" x14ac:dyDescent="0.2">
      <c r="C29" s="38"/>
      <c r="D29" s="37"/>
    </row>
    <row r="30" spans="1:15" s="36" customFormat="1" x14ac:dyDescent="0.2">
      <c r="C30" s="38"/>
      <c r="D30" s="37"/>
    </row>
    <row r="31" spans="1:15" s="36" customFormat="1" ht="15" customHeight="1" x14ac:dyDescent="0.2">
      <c r="C31" s="38"/>
      <c r="D31" s="37"/>
    </row>
    <row r="32" spans="1:15" s="36" customFormat="1" ht="15" x14ac:dyDescent="0.25">
      <c r="A32" s="47" t="s">
        <v>51</v>
      </c>
      <c r="B32" s="50">
        <f>SUM(B21:B26)</f>
        <v>24312.239999999998</v>
      </c>
      <c r="C32" s="49" t="s">
        <v>51</v>
      </c>
      <c r="D32" s="50">
        <f>SUM(D21:D26)</f>
        <v>13515</v>
      </c>
      <c r="H32" s="51"/>
      <c r="O32" s="53"/>
    </row>
    <row r="33" spans="1:15" x14ac:dyDescent="0.2">
      <c r="A33" s="36" t="s">
        <v>52</v>
      </c>
      <c r="B33" s="37">
        <f>H9-B29</f>
        <v>35256</v>
      </c>
      <c r="C33" s="38" t="s">
        <v>52</v>
      </c>
      <c r="D33" s="37">
        <f>H9-D29</f>
        <v>35256</v>
      </c>
    </row>
    <row r="34" spans="1:15" s="36" customFormat="1" ht="15" customHeight="1" x14ac:dyDescent="0.25">
      <c r="A34" s="47" t="s">
        <v>53</v>
      </c>
      <c r="B34" s="50">
        <f>(B2-B20)-B29</f>
        <v>48568</v>
      </c>
      <c r="C34" s="49" t="s">
        <v>53</v>
      </c>
      <c r="D34" s="50">
        <f>(D2-D20)-D29</f>
        <v>21944</v>
      </c>
      <c r="F34" s="51"/>
      <c r="O34" s="53"/>
    </row>
    <row r="35" spans="1:15" x14ac:dyDescent="0.2">
      <c r="A35" s="36" t="s">
        <v>54</v>
      </c>
      <c r="B35" s="37">
        <f>B31-B30</f>
        <v>0</v>
      </c>
      <c r="C35" s="38" t="s">
        <v>54</v>
      </c>
      <c r="D35" s="37">
        <f>D31-D30</f>
        <v>0</v>
      </c>
    </row>
    <row r="37" spans="1:15" ht="15" x14ac:dyDescent="0.25">
      <c r="A37" s="36" t="s">
        <v>55</v>
      </c>
      <c r="B37" s="50">
        <f>(B31-B32)+B29</f>
        <v>-24312.239999999998</v>
      </c>
      <c r="C37" s="38" t="s">
        <v>55</v>
      </c>
      <c r="D37" s="50">
        <f>(D31-D32)+D29</f>
        <v>-13515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37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37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54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43">
        <v>24399</v>
      </c>
      <c r="C2" s="44" t="s">
        <v>14</v>
      </c>
      <c r="D2" s="43">
        <f>20140+2650</f>
        <v>22790</v>
      </c>
      <c r="F2" s="45">
        <f>B2+D2</f>
        <v>47189</v>
      </c>
    </row>
    <row r="3" spans="1:17" ht="15" customHeight="1" x14ac:dyDescent="0.25">
      <c r="A3" s="65" t="s">
        <v>70</v>
      </c>
      <c r="B3" s="66">
        <v>109</v>
      </c>
      <c r="C3" s="58" t="s">
        <v>15</v>
      </c>
      <c r="D3" s="57">
        <v>0</v>
      </c>
      <c r="F3" s="46" t="e">
        <f>(F2-'[6]25e April'!F2)/F2</f>
        <v>#REF!</v>
      </c>
    </row>
    <row r="4" spans="1:17" x14ac:dyDescent="0.2">
      <c r="A4" s="36" t="s">
        <v>17</v>
      </c>
      <c r="B4" s="37">
        <v>388</v>
      </c>
      <c r="C4" s="38" t="s">
        <v>17</v>
      </c>
      <c r="D4" s="37">
        <v>349</v>
      </c>
    </row>
    <row r="5" spans="1:17" x14ac:dyDescent="0.2">
      <c r="A5" s="36" t="s">
        <v>22</v>
      </c>
      <c r="B5" s="37">
        <v>69</v>
      </c>
      <c r="C5" s="38" t="s">
        <v>19</v>
      </c>
      <c r="D5" s="37">
        <v>432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37">
        <v>1400</v>
      </c>
      <c r="C6" s="38" t="s">
        <v>23</v>
      </c>
      <c r="D6" s="37">
        <v>1233</v>
      </c>
      <c r="F6" s="45">
        <f>D20+B20</f>
        <v>0</v>
      </c>
      <c r="H6" s="45">
        <f>F2-F6</f>
        <v>47189</v>
      </c>
      <c r="P6" s="53"/>
      <c r="Q6" s="59"/>
    </row>
    <row r="7" spans="1:17" ht="15" customHeight="1" x14ac:dyDescent="0.25">
      <c r="A7" s="36" t="s">
        <v>26</v>
      </c>
      <c r="B7" s="37">
        <v>500</v>
      </c>
      <c r="C7" s="38" t="s">
        <v>25</v>
      </c>
      <c r="D7" s="37">
        <v>7000</v>
      </c>
      <c r="F7" s="48" t="e">
        <f>(F6-'[6]25e April'!F6)/F6</f>
        <v>#REF!</v>
      </c>
      <c r="P7" s="53"/>
      <c r="Q7" s="59"/>
    </row>
    <row r="8" spans="1:17" x14ac:dyDescent="0.2">
      <c r="A8" s="36" t="s">
        <v>31</v>
      </c>
      <c r="B8" s="37">
        <v>343</v>
      </c>
      <c r="C8" s="38" t="s">
        <v>56</v>
      </c>
      <c r="D8" s="37">
        <v>0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37">
        <v>385</v>
      </c>
      <c r="C9" s="38" t="s">
        <v>30</v>
      </c>
      <c r="D9" s="37">
        <v>0</v>
      </c>
      <c r="H9" s="45">
        <f>H6/2</f>
        <v>23594.5</v>
      </c>
      <c r="P9" s="53"/>
      <c r="Q9" s="59"/>
    </row>
    <row r="10" spans="1:17" x14ac:dyDescent="0.2">
      <c r="A10" s="36" t="s">
        <v>35</v>
      </c>
      <c r="B10" s="37">
        <f>235+170</f>
        <v>405</v>
      </c>
      <c r="C10" s="38" t="s">
        <v>32</v>
      </c>
      <c r="D10" s="37">
        <v>439</v>
      </c>
      <c r="P10" s="53"/>
      <c r="Q10" s="59"/>
    </row>
    <row r="11" spans="1:17" x14ac:dyDescent="0.2">
      <c r="A11" s="36" t="s">
        <v>37</v>
      </c>
      <c r="B11" s="37">
        <v>399</v>
      </c>
      <c r="C11" s="38" t="s">
        <v>34</v>
      </c>
      <c r="D11" s="37">
        <v>145</v>
      </c>
      <c r="P11" s="53"/>
      <c r="Q11" s="59"/>
    </row>
    <row r="12" spans="1:17" x14ac:dyDescent="0.2">
      <c r="A12" s="36" t="s">
        <v>38</v>
      </c>
      <c r="B12" s="37">
        <v>18</v>
      </c>
      <c r="C12" s="1" t="s">
        <v>62</v>
      </c>
      <c r="D12" s="37">
        <v>628</v>
      </c>
      <c r="P12" s="53"/>
      <c r="Q12" s="59"/>
    </row>
    <row r="13" spans="1:17" x14ac:dyDescent="0.2">
      <c r="A13" s="36" t="s">
        <v>64</v>
      </c>
      <c r="B13" s="37">
        <v>67</v>
      </c>
      <c r="C13" s="1" t="s">
        <v>63</v>
      </c>
      <c r="D13" s="37">
        <v>795</v>
      </c>
      <c r="P13" s="53"/>
      <c r="Q13" s="59"/>
    </row>
    <row r="14" spans="1:17" x14ac:dyDescent="0.2">
      <c r="A14" s="36" t="s">
        <v>39</v>
      </c>
      <c r="B14" s="37">
        <v>13619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37">
        <v>159</v>
      </c>
      <c r="C15" s="38" t="s">
        <v>36</v>
      </c>
      <c r="D15" s="37">
        <v>0</v>
      </c>
      <c r="P15" s="53"/>
      <c r="Q15" s="59"/>
    </row>
    <row r="16" spans="1:17" x14ac:dyDescent="0.2">
      <c r="A16" s="36" t="s">
        <v>41</v>
      </c>
      <c r="B16" s="37">
        <v>0</v>
      </c>
      <c r="C16" s="38" t="s">
        <v>68</v>
      </c>
      <c r="D16" s="37">
        <v>0</v>
      </c>
      <c r="O16" s="36"/>
    </row>
    <row r="17" spans="1:15" s="36" customFormat="1" x14ac:dyDescent="0.2">
      <c r="C17" s="38"/>
      <c r="D17" s="37"/>
    </row>
    <row r="18" spans="1:15" s="36" customFormat="1" x14ac:dyDescent="0.2">
      <c r="B18" s="37"/>
      <c r="C18" s="38"/>
      <c r="D18" s="37"/>
    </row>
    <row r="19" spans="1:15" s="36" customFormat="1" x14ac:dyDescent="0.2">
      <c r="B19" s="37"/>
      <c r="C19" s="38"/>
      <c r="D19" s="37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50">
        <f>SUM(B3:B17)</f>
        <v>17861</v>
      </c>
      <c r="C23" s="49" t="s">
        <v>42</v>
      </c>
      <c r="D23" s="50">
        <f>SUM(D3:D16)</f>
        <v>11126</v>
      </c>
    </row>
    <row r="24" spans="1:15" s="36" customFormat="1" ht="15" customHeight="1" x14ac:dyDescent="0.2">
      <c r="A24" s="36" t="s">
        <v>58</v>
      </c>
      <c r="B24" s="37">
        <v>99</v>
      </c>
      <c r="C24" s="38" t="s">
        <v>44</v>
      </c>
      <c r="D24" s="37">
        <v>570</v>
      </c>
    </row>
    <row r="25" spans="1:15" s="36" customFormat="1" x14ac:dyDescent="0.2">
      <c r="A25" s="36" t="s">
        <v>67</v>
      </c>
      <c r="B25" s="37">
        <v>145</v>
      </c>
      <c r="C25" s="38"/>
      <c r="D25" s="37"/>
    </row>
    <row r="26" spans="1:15" s="36" customFormat="1" x14ac:dyDescent="0.2">
      <c r="A26" s="36" t="s">
        <v>47</v>
      </c>
      <c r="B26" s="37">
        <v>880</v>
      </c>
      <c r="C26" s="38"/>
      <c r="D26" s="37"/>
    </row>
    <row r="27" spans="1:15" s="36" customFormat="1" ht="15" x14ac:dyDescent="0.25">
      <c r="C27" s="60"/>
      <c r="H27" s="67"/>
      <c r="I27" s="63"/>
    </row>
    <row r="28" spans="1:15" s="36" customFormat="1" x14ac:dyDescent="0.2">
      <c r="B28" s="37"/>
      <c r="C28" s="1"/>
      <c r="D28" s="37"/>
      <c r="H28" s="64"/>
      <c r="I28" s="63"/>
    </row>
    <row r="29" spans="1:15" s="36" customFormat="1" ht="15" customHeight="1" x14ac:dyDescent="0.2">
      <c r="C29" s="38"/>
      <c r="D29" s="37"/>
    </row>
    <row r="30" spans="1:15" s="36" customFormat="1" x14ac:dyDescent="0.2">
      <c r="C30" s="38"/>
      <c r="D30" s="37"/>
    </row>
    <row r="31" spans="1:15" s="36" customFormat="1" ht="15" customHeight="1" x14ac:dyDescent="0.2">
      <c r="C31" s="38"/>
      <c r="D31" s="37"/>
    </row>
    <row r="32" spans="1:15" s="36" customFormat="1" ht="15" x14ac:dyDescent="0.25">
      <c r="A32" s="47" t="s">
        <v>51</v>
      </c>
      <c r="B32" s="50">
        <f>SUM(B21:B26)</f>
        <v>18985</v>
      </c>
      <c r="C32" s="49" t="s">
        <v>51</v>
      </c>
      <c r="D32" s="50">
        <f>SUM(D21:D26)</f>
        <v>11696</v>
      </c>
      <c r="H32" s="51"/>
      <c r="O32" s="53"/>
    </row>
    <row r="33" spans="1:15" x14ac:dyDescent="0.2">
      <c r="A33" s="36" t="s">
        <v>52</v>
      </c>
      <c r="B33" s="37">
        <f>H9-B29</f>
        <v>23594.5</v>
      </c>
      <c r="C33" s="38" t="s">
        <v>52</v>
      </c>
      <c r="D33" s="37">
        <f>H9-D29</f>
        <v>23594.5</v>
      </c>
    </row>
    <row r="34" spans="1:15" s="36" customFormat="1" ht="15" customHeight="1" x14ac:dyDescent="0.25">
      <c r="A34" s="47" t="s">
        <v>53</v>
      </c>
      <c r="B34" s="50">
        <f>(B2-B20)-B29</f>
        <v>24399</v>
      </c>
      <c r="C34" s="49" t="s">
        <v>53</v>
      </c>
      <c r="D34" s="50">
        <f>(D2-D20)-D29</f>
        <v>22790</v>
      </c>
      <c r="F34" s="51"/>
      <c r="O34" s="53"/>
    </row>
    <row r="35" spans="1:15" x14ac:dyDescent="0.2">
      <c r="A35" s="36" t="s">
        <v>54</v>
      </c>
      <c r="B35" s="37">
        <f>B31-B30</f>
        <v>0</v>
      </c>
      <c r="C35" s="38" t="s">
        <v>54</v>
      </c>
      <c r="D35" s="37">
        <f>D31-D30</f>
        <v>0</v>
      </c>
    </row>
    <row r="37" spans="1:15" ht="15" x14ac:dyDescent="0.25">
      <c r="A37" s="36" t="s">
        <v>55</v>
      </c>
      <c r="B37" s="50">
        <f>(B31-B32)+B29</f>
        <v>-18985</v>
      </c>
      <c r="C37" s="38" t="s">
        <v>55</v>
      </c>
      <c r="D37" s="50">
        <f>(D31-D32)+D29</f>
        <v>-11696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37"/>
  <sheetViews>
    <sheetView workbookViewId="0">
      <selection activeCell="C14" sqref="C14"/>
    </sheetView>
  </sheetViews>
  <sheetFormatPr defaultRowHeight="14.25" x14ac:dyDescent="0.2"/>
  <cols>
    <col min="1" max="1" width="26.5" style="36" customWidth="1"/>
    <col min="2" max="2" width="12.375" style="68" customWidth="1"/>
    <col min="3" max="3" width="26.5" style="38" customWidth="1"/>
    <col min="4" max="4" width="12.375" style="37" customWidth="1"/>
    <col min="5" max="5" width="8.75" style="36" customWidth="1"/>
    <col min="6" max="6" width="12.375" style="36" customWidth="1"/>
    <col min="7" max="7" width="8.75" style="36" customWidth="1"/>
    <col min="8" max="8" width="12.375" style="36" customWidth="1"/>
    <col min="9" max="13" width="8.75" style="36" customWidth="1"/>
    <col min="14" max="14" width="18.375" style="36" customWidth="1"/>
    <col min="15" max="15" width="16" style="53" customWidth="1"/>
    <col min="16" max="16" width="13.875" style="36" customWidth="1"/>
    <col min="17" max="1024" width="8.75" style="36" customWidth="1"/>
  </cols>
  <sheetData>
    <row r="1" spans="1:17" ht="21.6" customHeight="1" x14ac:dyDescent="0.25">
      <c r="A1" s="39" t="s">
        <v>2</v>
      </c>
      <c r="B1" s="69"/>
      <c r="C1" s="40" t="s">
        <v>4</v>
      </c>
      <c r="D1" s="55"/>
      <c r="F1" s="36" t="s">
        <v>13</v>
      </c>
    </row>
    <row r="2" spans="1:17" ht="15" customHeight="1" x14ac:dyDescent="0.25">
      <c r="A2" s="42" t="s">
        <v>14</v>
      </c>
      <c r="B2" s="70">
        <v>29478</v>
      </c>
      <c r="C2" s="44" t="s">
        <v>14</v>
      </c>
      <c r="D2" s="43">
        <f>2650+18475+1983+567</f>
        <v>23675</v>
      </c>
      <c r="F2" s="45">
        <f>B2+D2</f>
        <v>53153</v>
      </c>
    </row>
    <row r="3" spans="1:17" ht="15" customHeight="1" x14ac:dyDescent="0.25">
      <c r="A3" s="65" t="s">
        <v>70</v>
      </c>
      <c r="B3" s="71">
        <v>109</v>
      </c>
      <c r="C3" s="58" t="s">
        <v>15</v>
      </c>
      <c r="D3" s="57">
        <v>0</v>
      </c>
      <c r="F3" s="48" t="e">
        <f>(F2-'[7]25e Maj'!F2)/F2</f>
        <v>#REF!</v>
      </c>
    </row>
    <row r="4" spans="1:17" x14ac:dyDescent="0.2">
      <c r="A4" s="36" t="s">
        <v>17</v>
      </c>
      <c r="B4" s="68">
        <v>209</v>
      </c>
      <c r="C4" s="38" t="s">
        <v>17</v>
      </c>
      <c r="D4" s="37">
        <v>269</v>
      </c>
    </row>
    <row r="5" spans="1:17" x14ac:dyDescent="0.2">
      <c r="A5" s="36" t="s">
        <v>22</v>
      </c>
      <c r="B5" s="68">
        <v>69</v>
      </c>
      <c r="C5" s="38" t="s">
        <v>19</v>
      </c>
      <c r="D5" s="37">
        <v>436</v>
      </c>
      <c r="F5" s="36" t="s">
        <v>20</v>
      </c>
      <c r="H5" s="36" t="s">
        <v>21</v>
      </c>
    </row>
    <row r="6" spans="1:17" ht="15" customHeight="1" x14ac:dyDescent="0.25">
      <c r="A6" s="36" t="s">
        <v>66</v>
      </c>
      <c r="B6" s="68">
        <v>1400</v>
      </c>
      <c r="C6" s="38" t="s">
        <v>23</v>
      </c>
      <c r="D6" s="37">
        <v>2013</v>
      </c>
      <c r="F6" s="45">
        <f>D20+B20</f>
        <v>0</v>
      </c>
      <c r="H6" s="45">
        <f>F2-F6</f>
        <v>53153</v>
      </c>
      <c r="P6" s="53"/>
      <c r="Q6" s="59"/>
    </row>
    <row r="7" spans="1:17" ht="15" customHeight="1" x14ac:dyDescent="0.25">
      <c r="A7" s="36" t="s">
        <v>26</v>
      </c>
      <c r="B7" s="68">
        <v>500</v>
      </c>
      <c r="C7" s="38" t="s">
        <v>25</v>
      </c>
      <c r="D7" s="37">
        <v>7000</v>
      </c>
      <c r="F7" s="46" t="e">
        <f>(F6-'[7]25e Maj'!F6)/F6</f>
        <v>#REF!</v>
      </c>
      <c r="P7" s="53"/>
      <c r="Q7" s="59"/>
    </row>
    <row r="8" spans="1:17" x14ac:dyDescent="0.2">
      <c r="A8" s="36" t="s">
        <v>31</v>
      </c>
      <c r="B8" s="68">
        <v>343</v>
      </c>
      <c r="C8" s="38" t="s">
        <v>56</v>
      </c>
      <c r="D8" s="37">
        <f>590+820</f>
        <v>1410</v>
      </c>
      <c r="F8" s="36" t="s">
        <v>71</v>
      </c>
      <c r="H8" s="36" t="s">
        <v>28</v>
      </c>
      <c r="P8" s="53"/>
      <c r="Q8" s="59"/>
    </row>
    <row r="9" spans="1:17" ht="15" customHeight="1" x14ac:dyDescent="0.25">
      <c r="A9" s="36" t="s">
        <v>33</v>
      </c>
      <c r="B9" s="68">
        <v>385</v>
      </c>
      <c r="C9" s="38" t="s">
        <v>30</v>
      </c>
      <c r="D9" s="37">
        <v>0</v>
      </c>
      <c r="F9" s="72" t="e">
        <f>F6-(('[2]25e December'!F6+'[3]25e Januari'!F6+'[4]25e Februari'!F6+'[5]25e Mars'!F6+'[6]25e April'!F6+'[7]25e Maj'!F6)/6)</f>
        <v>#REF!</v>
      </c>
      <c r="H9" s="45">
        <f>H6/2</f>
        <v>26576.5</v>
      </c>
      <c r="P9" s="53"/>
      <c r="Q9" s="59"/>
    </row>
    <row r="10" spans="1:17" x14ac:dyDescent="0.2">
      <c r="A10" s="36" t="s">
        <v>35</v>
      </c>
      <c r="B10" s="68">
        <f>235+170</f>
        <v>405</v>
      </c>
      <c r="C10" s="38" t="s">
        <v>32</v>
      </c>
      <c r="D10" s="37">
        <v>439</v>
      </c>
      <c r="P10" s="53"/>
      <c r="Q10" s="59"/>
    </row>
    <row r="11" spans="1:17" x14ac:dyDescent="0.2">
      <c r="A11" s="36" t="s">
        <v>37</v>
      </c>
      <c r="B11" s="68">
        <v>1108</v>
      </c>
      <c r="C11" s="38" t="s">
        <v>34</v>
      </c>
      <c r="D11" s="37">
        <v>145</v>
      </c>
      <c r="P11" s="53"/>
      <c r="Q11" s="59"/>
    </row>
    <row r="12" spans="1:17" x14ac:dyDescent="0.2">
      <c r="A12" s="36" t="s">
        <v>38</v>
      </c>
      <c r="B12" s="68">
        <v>9</v>
      </c>
      <c r="C12" s="1" t="s">
        <v>62</v>
      </c>
      <c r="D12" s="37">
        <v>628</v>
      </c>
      <c r="P12" s="53"/>
      <c r="Q12" s="59"/>
    </row>
    <row r="13" spans="1:17" x14ac:dyDescent="0.2">
      <c r="A13" s="36" t="s">
        <v>64</v>
      </c>
      <c r="B13" s="68">
        <v>67</v>
      </c>
      <c r="C13" s="1" t="s">
        <v>63</v>
      </c>
      <c r="D13" s="37">
        <v>0</v>
      </c>
      <c r="P13" s="53"/>
      <c r="Q13" s="59"/>
    </row>
    <row r="14" spans="1:17" x14ac:dyDescent="0.2">
      <c r="A14" s="36" t="s">
        <v>39</v>
      </c>
      <c r="B14" s="68">
        <v>13555</v>
      </c>
      <c r="C14" s="38" t="s">
        <v>45</v>
      </c>
      <c r="D14" s="37">
        <v>105</v>
      </c>
      <c r="P14" s="53"/>
      <c r="Q14" s="59"/>
    </row>
    <row r="15" spans="1:17" x14ac:dyDescent="0.2">
      <c r="A15" s="36" t="s">
        <v>40</v>
      </c>
      <c r="B15" s="68">
        <v>159</v>
      </c>
      <c r="C15" s="38" t="s">
        <v>36</v>
      </c>
      <c r="D15" s="37">
        <v>5700</v>
      </c>
      <c r="P15" s="53"/>
      <c r="Q15" s="59"/>
    </row>
    <row r="16" spans="1:17" x14ac:dyDescent="0.2">
      <c r="A16" s="36" t="s">
        <v>41</v>
      </c>
      <c r="B16" s="68">
        <v>1000</v>
      </c>
      <c r="C16" s="38" t="s">
        <v>68</v>
      </c>
      <c r="D16" s="37">
        <v>0</v>
      </c>
      <c r="O16" s="36"/>
    </row>
    <row r="17" spans="1:15" s="36" customFormat="1" x14ac:dyDescent="0.2">
      <c r="A17" s="36" t="s">
        <v>56</v>
      </c>
      <c r="B17" s="68">
        <f>500+964</f>
        <v>1464</v>
      </c>
      <c r="C17" s="38"/>
      <c r="D17" s="37"/>
    </row>
    <row r="18" spans="1:15" s="36" customFormat="1" x14ac:dyDescent="0.2">
      <c r="B18" s="68"/>
      <c r="C18" s="38"/>
      <c r="D18" s="37"/>
    </row>
    <row r="19" spans="1:15" s="36" customFormat="1" x14ac:dyDescent="0.2">
      <c r="B19" s="68"/>
      <c r="C19" s="38"/>
      <c r="D19" s="37"/>
    </row>
    <row r="20" spans="1:15" s="36" customFormat="1" ht="15" customHeight="1" x14ac:dyDescent="0.2"/>
    <row r="21" spans="1:15" s="36" customFormat="1" x14ac:dyDescent="0.2"/>
    <row r="22" spans="1:15" s="36" customFormat="1" x14ac:dyDescent="0.2"/>
    <row r="23" spans="1:15" s="36" customFormat="1" ht="15" x14ac:dyDescent="0.25">
      <c r="A23" s="49" t="s">
        <v>42</v>
      </c>
      <c r="B23" s="73">
        <f>SUM(B3:B17)</f>
        <v>20782</v>
      </c>
      <c r="C23" s="49" t="s">
        <v>42</v>
      </c>
      <c r="D23" s="50">
        <f>SUM(D3:D16)</f>
        <v>18145</v>
      </c>
    </row>
    <row r="24" spans="1:15" s="36" customFormat="1" ht="15" customHeight="1" x14ac:dyDescent="0.2">
      <c r="A24" s="36" t="s">
        <v>58</v>
      </c>
      <c r="B24" s="68">
        <v>99</v>
      </c>
      <c r="C24" s="38" t="s">
        <v>44</v>
      </c>
      <c r="D24" s="37">
        <v>570</v>
      </c>
    </row>
    <row r="25" spans="1:15" s="36" customFormat="1" ht="15" customHeight="1" x14ac:dyDescent="0.2">
      <c r="A25" s="36" t="s">
        <v>67</v>
      </c>
      <c r="B25" s="68">
        <v>145</v>
      </c>
      <c r="C25" s="38"/>
      <c r="D25" s="37"/>
    </row>
    <row r="26" spans="1:15" s="36" customFormat="1" x14ac:dyDescent="0.2">
      <c r="A26" s="36" t="s">
        <v>47</v>
      </c>
      <c r="B26" s="68">
        <v>880</v>
      </c>
      <c r="C26" s="38"/>
      <c r="D26" s="37"/>
    </row>
    <row r="27" spans="1:15" s="36" customFormat="1" ht="15" x14ac:dyDescent="0.25">
      <c r="A27" s="74" t="s">
        <v>72</v>
      </c>
      <c r="B27" s="75">
        <v>2100</v>
      </c>
      <c r="C27" s="60"/>
      <c r="H27" s="67"/>
      <c r="I27" s="63"/>
    </row>
    <row r="28" spans="1:15" s="36" customFormat="1" ht="15" x14ac:dyDescent="0.25">
      <c r="A28" s="74" t="s">
        <v>73</v>
      </c>
      <c r="B28" s="75">
        <v>2500</v>
      </c>
      <c r="C28" s="1"/>
      <c r="D28" s="37"/>
      <c r="H28" s="64"/>
      <c r="I28" s="63"/>
    </row>
    <row r="29" spans="1:15" s="36" customFormat="1" ht="15" customHeight="1" x14ac:dyDescent="0.2">
      <c r="B29" s="52"/>
      <c r="C29" s="38"/>
      <c r="D29" s="37"/>
    </row>
    <row r="30" spans="1:15" s="36" customFormat="1" x14ac:dyDescent="0.2">
      <c r="B30" s="52"/>
      <c r="C30" s="38"/>
      <c r="D30" s="37"/>
    </row>
    <row r="31" spans="1:15" s="36" customFormat="1" ht="15" customHeight="1" x14ac:dyDescent="0.2">
      <c r="B31" s="52"/>
      <c r="C31" s="38"/>
      <c r="D31" s="37"/>
    </row>
    <row r="32" spans="1:15" s="36" customFormat="1" ht="15" x14ac:dyDescent="0.25">
      <c r="A32" s="47" t="s">
        <v>51</v>
      </c>
      <c r="B32" s="73">
        <f>SUM(B21:B26)</f>
        <v>21906</v>
      </c>
      <c r="C32" s="49" t="s">
        <v>51</v>
      </c>
      <c r="D32" s="50">
        <f>SUM(D21:D26)</f>
        <v>18715</v>
      </c>
      <c r="H32" s="51"/>
      <c r="O32" s="53"/>
    </row>
    <row r="33" spans="1:15" x14ac:dyDescent="0.2">
      <c r="A33" s="36" t="s">
        <v>52</v>
      </c>
      <c r="B33" s="68">
        <f>H9-B29</f>
        <v>26576.5</v>
      </c>
      <c r="C33" s="38" t="s">
        <v>52</v>
      </c>
      <c r="D33" s="37">
        <f>H9-D29</f>
        <v>26576.5</v>
      </c>
    </row>
    <row r="34" spans="1:15" s="36" customFormat="1" ht="15" customHeight="1" x14ac:dyDescent="0.25">
      <c r="A34" s="47" t="s">
        <v>53</v>
      </c>
      <c r="B34" s="73">
        <f>(B2-B20)-B29</f>
        <v>29478</v>
      </c>
      <c r="C34" s="49" t="s">
        <v>53</v>
      </c>
      <c r="D34" s="50">
        <f>(D2-D20)-D29</f>
        <v>23675</v>
      </c>
      <c r="F34" s="51"/>
      <c r="O34" s="53"/>
    </row>
    <row r="35" spans="1:15" x14ac:dyDescent="0.2">
      <c r="A35" s="36" t="s">
        <v>54</v>
      </c>
      <c r="B35" s="68">
        <f>B31-B30</f>
        <v>0</v>
      </c>
      <c r="C35" s="38" t="s">
        <v>54</v>
      </c>
      <c r="D35" s="37">
        <f>D31-D30</f>
        <v>0</v>
      </c>
    </row>
    <row r="37" spans="1:15" ht="15" x14ac:dyDescent="0.25">
      <c r="A37" s="36" t="s">
        <v>55</v>
      </c>
      <c r="B37" s="73">
        <f>(B31-B32)+B29</f>
        <v>-21906</v>
      </c>
      <c r="C37" s="38" t="s">
        <v>55</v>
      </c>
      <c r="D37" s="50">
        <f>(D31-D32)+D29</f>
        <v>-18715</v>
      </c>
    </row>
  </sheetData>
  <pageMargins left="0.70000000000000007" right="0.70000000000000007" top="1.143700787401575" bottom="1.143700787401575" header="0.74999999999999989" footer="0.74999999999999989"/>
  <pageSetup fitToWidth="0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26</vt:i4>
      </vt:variant>
    </vt:vector>
  </HeadingPairs>
  <TitlesOfParts>
    <vt:vector size="26" baseType="lpstr">
      <vt:lpstr>Sparande</vt:lpstr>
      <vt:lpstr>25e November 2020</vt:lpstr>
      <vt:lpstr>25e December 2020</vt:lpstr>
      <vt:lpstr>25e Januari 2021</vt:lpstr>
      <vt:lpstr>25e Februari 2021</vt:lpstr>
      <vt:lpstr>25e Mars 2021</vt:lpstr>
      <vt:lpstr>25e April 2021</vt:lpstr>
      <vt:lpstr>25e Maj 2021</vt:lpstr>
      <vt:lpstr>25e Juni 2021</vt:lpstr>
      <vt:lpstr>25e Juli 2021</vt:lpstr>
      <vt:lpstr>25e Augusti 2021</vt:lpstr>
      <vt:lpstr>25e September 2021</vt:lpstr>
      <vt:lpstr>25e Oktober 2021</vt:lpstr>
      <vt:lpstr>25e November 2021</vt:lpstr>
      <vt:lpstr>25e December 2021</vt:lpstr>
      <vt:lpstr>25e Januari 2022</vt:lpstr>
      <vt:lpstr>25e Februari 2022</vt:lpstr>
      <vt:lpstr>25e Mars 2022</vt:lpstr>
      <vt:lpstr>25e April 2022</vt:lpstr>
      <vt:lpstr>25e Maj 2022</vt:lpstr>
      <vt:lpstr>25e Juni 2022</vt:lpstr>
      <vt:lpstr>25e Juli 2022</vt:lpstr>
      <vt:lpstr>Grafik-data</vt:lpstr>
      <vt:lpstr>Grafik</vt:lpstr>
      <vt:lpstr>Testmånad</vt:lpstr>
      <vt:lpstr>Peter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Svärd</dc:creator>
  <cp:lastModifiedBy>Peter Svärd</cp:lastModifiedBy>
  <cp:revision>24</cp:revision>
  <dcterms:created xsi:type="dcterms:W3CDTF">2021-03-12T17:03:52Z</dcterms:created>
  <dcterms:modified xsi:type="dcterms:W3CDTF">2022-07-28T06:25:19Z</dcterms:modified>
</cp:coreProperties>
</file>