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rd\OneDrive\Skrivbord\"/>
    </mc:Choice>
  </mc:AlternateContent>
  <xr:revisionPtr revIDLastSave="0" documentId="13_ncr:1_{334519F2-0D81-41B9-BAA3-3CAF6BE4CAAC}" xr6:coauthVersionLast="47" xr6:coauthVersionMax="47" xr10:uidLastSave="{00000000-0000-0000-0000-000000000000}"/>
  <bookViews>
    <workbookView xWindow="390" yWindow="0" windowWidth="56130" windowHeight="15600" tabRatio="885" activeTab="21" xr2:uid="{00000000-000D-0000-FFFF-FFFF00000000}"/>
  </bookViews>
  <sheets>
    <sheet name="Sparande" sheetId="1" r:id="rId1"/>
    <sheet name="25e November" sheetId="2" r:id="rId2"/>
    <sheet name="25e December" sheetId="3" r:id="rId3"/>
    <sheet name="25e Januari" sheetId="4" r:id="rId4"/>
    <sheet name="25e Februari" sheetId="5" r:id="rId5"/>
    <sheet name="25e Mars" sheetId="8" r:id="rId6"/>
    <sheet name="25e April" sheetId="10" r:id="rId7"/>
    <sheet name="25e Maj" sheetId="11" r:id="rId8"/>
    <sheet name="25e Juni" sheetId="12" r:id="rId9"/>
    <sheet name="25e Juli" sheetId="13" r:id="rId10"/>
    <sheet name="25e Augusti" sheetId="14" r:id="rId11"/>
    <sheet name="25e September" sheetId="15" r:id="rId12"/>
    <sheet name="25e Oktober" sheetId="16" r:id="rId13"/>
    <sheet name="25e November 2021" sheetId="17" r:id="rId14"/>
    <sheet name="25e December 2021" sheetId="18" r:id="rId15"/>
    <sheet name="25e Januari 2022" sheetId="19" r:id="rId16"/>
    <sheet name="25e Februari 2022" sheetId="20" r:id="rId17"/>
    <sheet name="25e Mars 2022" sheetId="21" r:id="rId18"/>
    <sheet name="25e April 2022" sheetId="22" r:id="rId19"/>
    <sheet name="25e Maj 2022" sheetId="23" r:id="rId20"/>
    <sheet name="25e Juni 2022" sheetId="25" r:id="rId21"/>
    <sheet name="25e Juli 2022" sheetId="26" r:id="rId22"/>
    <sheet name="Grafik-data" sheetId="7" r:id="rId23"/>
    <sheet name="Grafik" sheetId="6" r:id="rId24"/>
    <sheet name="Testmånad" sheetId="24" r:id="rId25"/>
  </sheets>
  <definedNames>
    <definedName name="_xlnm._FilterDatabase" localSheetId="0">Sparande!#REF!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6" l="1"/>
  <c r="D2" i="26"/>
  <c r="V10" i="1"/>
  <c r="V11" i="1" s="1"/>
  <c r="V12" i="1"/>
  <c r="D30" i="26"/>
  <c r="B30" i="26"/>
  <c r="B21" i="26"/>
  <c r="D20" i="26"/>
  <c r="B20" i="26"/>
  <c r="I21" i="26" s="1"/>
  <c r="D11" i="26"/>
  <c r="F2" i="26"/>
  <c r="F3" i="26" s="1"/>
  <c r="D22" i="25"/>
  <c r="D8" i="25"/>
  <c r="D5" i="25"/>
  <c r="D6" i="25"/>
  <c r="D2" i="25"/>
  <c r="B21" i="25"/>
  <c r="B30" i="25" s="1"/>
  <c r="B18" i="25"/>
  <c r="D30" i="25"/>
  <c r="D20" i="25"/>
  <c r="I22" i="25" s="1"/>
  <c r="B20" i="25"/>
  <c r="D11" i="25"/>
  <c r="B23" i="23"/>
  <c r="B30" i="23" s="1"/>
  <c r="D8" i="23"/>
  <c r="D2" i="23"/>
  <c r="B22" i="23"/>
  <c r="B18" i="23"/>
  <c r="B20" i="23" s="1"/>
  <c r="B12" i="23"/>
  <c r="B2" i="23"/>
  <c r="F2" i="24"/>
  <c r="B14" i="24"/>
  <c r="O16" i="24"/>
  <c r="O15" i="24"/>
  <c r="B30" i="24"/>
  <c r="D30" i="24"/>
  <c r="B20" i="24"/>
  <c r="D11" i="24"/>
  <c r="D6" i="24"/>
  <c r="D20" i="24" s="1"/>
  <c r="D30" i="23"/>
  <c r="D20" i="23"/>
  <c r="D11" i="23"/>
  <c r="D6" i="23"/>
  <c r="B20" i="22"/>
  <c r="D22" i="22"/>
  <c r="D8" i="22"/>
  <c r="D6" i="22"/>
  <c r="D2" i="22"/>
  <c r="B18" i="22"/>
  <c r="D30" i="22"/>
  <c r="B30" i="22"/>
  <c r="D11" i="22"/>
  <c r="D20" i="22"/>
  <c r="G21" i="7"/>
  <c r="G22" i="7"/>
  <c r="F22" i="7"/>
  <c r="F21" i="7"/>
  <c r="F7" i="21"/>
  <c r="F3" i="21"/>
  <c r="B2" i="21"/>
  <c r="B18" i="21"/>
  <c r="D8" i="21"/>
  <c r="D6" i="21"/>
  <c r="D2" i="21"/>
  <c r="D30" i="21"/>
  <c r="B30" i="21"/>
  <c r="D20" i="21"/>
  <c r="I22" i="21" s="1"/>
  <c r="B20" i="21"/>
  <c r="D11" i="21"/>
  <c r="B2" i="20"/>
  <c r="B20" i="20"/>
  <c r="I21" i="20" s="1"/>
  <c r="R10" i="1"/>
  <c r="S10" i="1"/>
  <c r="T10" i="1"/>
  <c r="U10" i="1"/>
  <c r="Q10" i="1"/>
  <c r="D8" i="20"/>
  <c r="D30" i="20"/>
  <c r="B30" i="20"/>
  <c r="D11" i="20"/>
  <c r="D6" i="20"/>
  <c r="D20" i="20" s="1"/>
  <c r="I22" i="20" s="1"/>
  <c r="F2" i="20"/>
  <c r="I20" i="20" s="1"/>
  <c r="D8" i="19"/>
  <c r="D2" i="19"/>
  <c r="F2" i="19"/>
  <c r="I21" i="19"/>
  <c r="G20" i="7"/>
  <c r="F20" i="7"/>
  <c r="P10" i="1"/>
  <c r="P11" i="1" s="1"/>
  <c r="B18" i="19"/>
  <c r="B2" i="19"/>
  <c r="D30" i="19"/>
  <c r="B30" i="19"/>
  <c r="B20" i="19"/>
  <c r="B32" i="19" s="1"/>
  <c r="D11" i="19"/>
  <c r="D6" i="19"/>
  <c r="D20" i="19" s="1"/>
  <c r="H21" i="15"/>
  <c r="H16" i="16"/>
  <c r="F7" i="17"/>
  <c r="F7" i="18"/>
  <c r="F3" i="18"/>
  <c r="G19" i="7"/>
  <c r="F19" i="7"/>
  <c r="B18" i="18"/>
  <c r="D8" i="18"/>
  <c r="D2" i="18"/>
  <c r="B20" i="18"/>
  <c r="B30" i="18"/>
  <c r="D30" i="18"/>
  <c r="D11" i="18"/>
  <c r="D6" i="18"/>
  <c r="D20" i="18" s="1"/>
  <c r="F2" i="18"/>
  <c r="G17" i="7"/>
  <c r="G18" i="7"/>
  <c r="F18" i="7"/>
  <c r="F17" i="7"/>
  <c r="O10" i="1"/>
  <c r="B2" i="17"/>
  <c r="D2" i="17"/>
  <c r="D22" i="17"/>
  <c r="B23" i="17"/>
  <c r="B30" i="17"/>
  <c r="D15" i="17"/>
  <c r="D20" i="17" s="1"/>
  <c r="N10" i="1"/>
  <c r="D8" i="17"/>
  <c r="F2" i="17"/>
  <c r="F3" i="17" s="1"/>
  <c r="D30" i="17"/>
  <c r="B20" i="17"/>
  <c r="D11" i="17"/>
  <c r="D6" i="17"/>
  <c r="D33" i="16"/>
  <c r="D2" i="16"/>
  <c r="D6" i="16"/>
  <c r="B2" i="16"/>
  <c r="D30" i="16"/>
  <c r="B30" i="16"/>
  <c r="B20" i="16"/>
  <c r="D11" i="16"/>
  <c r="D20" i="16"/>
  <c r="D8" i="15"/>
  <c r="F3" i="15"/>
  <c r="G15" i="7"/>
  <c r="G16" i="7"/>
  <c r="F16" i="7"/>
  <c r="F15" i="7"/>
  <c r="D6" i="15"/>
  <c r="D2" i="15"/>
  <c r="B23" i="15"/>
  <c r="B30" i="15"/>
  <c r="D30" i="15"/>
  <c r="B20" i="15"/>
  <c r="D11" i="15"/>
  <c r="D8" i="14"/>
  <c r="B23" i="14"/>
  <c r="D2" i="14"/>
  <c r="D11" i="14"/>
  <c r="D6" i="14"/>
  <c r="D23" i="13"/>
  <c r="D29" i="13"/>
  <c r="D2" i="13"/>
  <c r="M10" i="1"/>
  <c r="L10" i="1"/>
  <c r="K10" i="1"/>
  <c r="B20" i="14"/>
  <c r="F14" i="7"/>
  <c r="D30" i="14"/>
  <c r="B30" i="14"/>
  <c r="D20" i="14"/>
  <c r="D2" i="12"/>
  <c r="B29" i="13"/>
  <c r="B20" i="13"/>
  <c r="D20" i="13"/>
  <c r="D8" i="12"/>
  <c r="F13" i="7"/>
  <c r="G13" i="7" s="1"/>
  <c r="G12" i="7"/>
  <c r="F12" i="7"/>
  <c r="J10" i="1"/>
  <c r="I10" i="1"/>
  <c r="H10" i="1"/>
  <c r="B17" i="12"/>
  <c r="F2" i="12"/>
  <c r="D20" i="12"/>
  <c r="D29" i="12"/>
  <c r="B29" i="12"/>
  <c r="B10" i="12"/>
  <c r="D2" i="11"/>
  <c r="F2" i="11" s="1"/>
  <c r="D29" i="11"/>
  <c r="B29" i="11"/>
  <c r="D20" i="11"/>
  <c r="B10" i="11"/>
  <c r="B20" i="11" s="1"/>
  <c r="G4" i="1"/>
  <c r="G10" i="1" s="1"/>
  <c r="D2" i="10"/>
  <c r="F11" i="7"/>
  <c r="D8" i="10"/>
  <c r="D20" i="10" s="1"/>
  <c r="F10" i="7"/>
  <c r="G10" i="7" s="1"/>
  <c r="G5" i="7"/>
  <c r="G6" i="7"/>
  <c r="G7" i="7"/>
  <c r="G8" i="7"/>
  <c r="G9" i="7"/>
  <c r="G4" i="7"/>
  <c r="D2" i="8"/>
  <c r="B6" i="8"/>
  <c r="F10" i="1"/>
  <c r="D20" i="8"/>
  <c r="D29" i="10"/>
  <c r="B29" i="10"/>
  <c r="B10" i="10"/>
  <c r="B20" i="10" s="1"/>
  <c r="D29" i="8"/>
  <c r="B29" i="8"/>
  <c r="B10" i="8"/>
  <c r="B20" i="8" s="1"/>
  <c r="F9" i="7"/>
  <c r="F8" i="7"/>
  <c r="F7" i="7"/>
  <c r="F6" i="7"/>
  <c r="F5" i="7"/>
  <c r="B4" i="7"/>
  <c r="F4" i="7" s="1"/>
  <c r="F3" i="7"/>
  <c r="D29" i="5"/>
  <c r="B29" i="5"/>
  <c r="B10" i="5"/>
  <c r="B20" i="5" s="1"/>
  <c r="D5" i="5"/>
  <c r="D20" i="5" s="1"/>
  <c r="D2" i="5"/>
  <c r="D29" i="4"/>
  <c r="B29" i="4"/>
  <c r="D20" i="4"/>
  <c r="B11" i="4"/>
  <c r="B20" i="4" s="1"/>
  <c r="F2" i="4"/>
  <c r="K33" i="3"/>
  <c r="D29" i="3"/>
  <c r="B29" i="3"/>
  <c r="B12" i="3"/>
  <c r="B20" i="3" s="1"/>
  <c r="D8" i="3"/>
  <c r="D20" i="3" s="1"/>
  <c r="D2" i="3"/>
  <c r="D29" i="2"/>
  <c r="B26" i="2"/>
  <c r="B29" i="2" s="1"/>
  <c r="D20" i="2"/>
  <c r="B12" i="2"/>
  <c r="B20" i="2" s="1"/>
  <c r="F6" i="2" s="1"/>
  <c r="D2" i="2"/>
  <c r="E10" i="1"/>
  <c r="D10" i="1"/>
  <c r="C10" i="1"/>
  <c r="B10" i="1"/>
  <c r="F6" i="26" l="1"/>
  <c r="I20" i="26"/>
  <c r="B32" i="26"/>
  <c r="D32" i="26"/>
  <c r="I22" i="26"/>
  <c r="I23" i="26" s="1"/>
  <c r="I24" i="26" s="1"/>
  <c r="I12" i="1"/>
  <c r="Q11" i="1"/>
  <c r="R11" i="1"/>
  <c r="B32" i="25"/>
  <c r="F6" i="25"/>
  <c r="F7" i="25" s="1"/>
  <c r="I21" i="25"/>
  <c r="I23" i="25" s="1"/>
  <c r="I24" i="25" s="1"/>
  <c r="D32" i="25"/>
  <c r="F2" i="25"/>
  <c r="F3" i="25" s="1"/>
  <c r="I22" i="23"/>
  <c r="D32" i="23"/>
  <c r="I21" i="23"/>
  <c r="I21" i="24"/>
  <c r="B32" i="24"/>
  <c r="I20" i="24"/>
  <c r="F3" i="24"/>
  <c r="D32" i="24"/>
  <c r="F6" i="24"/>
  <c r="H6" i="24" s="1"/>
  <c r="H9" i="24" s="1"/>
  <c r="I22" i="24"/>
  <c r="F6" i="23"/>
  <c r="F7" i="23" s="1"/>
  <c r="F2" i="23"/>
  <c r="F3" i="23" s="1"/>
  <c r="B32" i="23"/>
  <c r="T12" i="1"/>
  <c r="I21" i="22"/>
  <c r="I22" i="22"/>
  <c r="F2" i="22"/>
  <c r="F3" i="22" s="1"/>
  <c r="F6" i="22"/>
  <c r="B32" i="22"/>
  <c r="D32" i="22"/>
  <c r="S12" i="1"/>
  <c r="I21" i="21"/>
  <c r="I23" i="21" s="1"/>
  <c r="I24" i="21" s="1"/>
  <c r="J22" i="21" s="1"/>
  <c r="B32" i="21"/>
  <c r="F2" i="21"/>
  <c r="D32" i="21"/>
  <c r="F6" i="21"/>
  <c r="R12" i="1"/>
  <c r="U11" i="1"/>
  <c r="T11" i="1"/>
  <c r="U12" i="1"/>
  <c r="S11" i="1"/>
  <c r="Q12" i="1"/>
  <c r="F3" i="20"/>
  <c r="B32" i="20"/>
  <c r="I23" i="20"/>
  <c r="I24" i="20" s="1"/>
  <c r="J22" i="20" s="1"/>
  <c r="F6" i="20"/>
  <c r="F7" i="20" s="1"/>
  <c r="D32" i="20"/>
  <c r="I20" i="19"/>
  <c r="F3" i="19"/>
  <c r="I22" i="19"/>
  <c r="I23" i="19" s="1"/>
  <c r="I24" i="19" s="1"/>
  <c r="J22" i="19" s="1"/>
  <c r="P12" i="1"/>
  <c r="D32" i="19"/>
  <c r="F6" i="19"/>
  <c r="F7" i="19" s="1"/>
  <c r="B32" i="18"/>
  <c r="F6" i="18"/>
  <c r="D32" i="18"/>
  <c r="O11" i="1"/>
  <c r="O12" i="1"/>
  <c r="N12" i="1"/>
  <c r="N11" i="1"/>
  <c r="F6" i="17"/>
  <c r="D32" i="17"/>
  <c r="B32" i="17"/>
  <c r="F6" i="16"/>
  <c r="F2" i="16"/>
  <c r="F3" i="16" s="1"/>
  <c r="B32" i="16"/>
  <c r="D32" i="16"/>
  <c r="D20" i="15"/>
  <c r="D32" i="15" s="1"/>
  <c r="B20" i="12"/>
  <c r="F6" i="12" s="1"/>
  <c r="F7" i="12" s="1"/>
  <c r="B31" i="11"/>
  <c r="F2" i="15"/>
  <c r="B32" i="15"/>
  <c r="D32" i="14"/>
  <c r="G14" i="7"/>
  <c r="K12" i="1"/>
  <c r="M11" i="1"/>
  <c r="L11" i="1"/>
  <c r="K11" i="1"/>
  <c r="L12" i="1"/>
  <c r="M12" i="1"/>
  <c r="F6" i="14"/>
  <c r="B32" i="14"/>
  <c r="F2" i="14"/>
  <c r="F6" i="13"/>
  <c r="B31" i="13"/>
  <c r="D31" i="13"/>
  <c r="F2" i="13"/>
  <c r="J11" i="1"/>
  <c r="J12" i="1"/>
  <c r="F3" i="12"/>
  <c r="I11" i="1"/>
  <c r="B31" i="12"/>
  <c r="D31" i="12"/>
  <c r="F6" i="11"/>
  <c r="H6" i="11"/>
  <c r="H9" i="11" s="1"/>
  <c r="D31" i="11"/>
  <c r="G11" i="7"/>
  <c r="H11" i="1"/>
  <c r="H12" i="1"/>
  <c r="G12" i="1"/>
  <c r="B31" i="10"/>
  <c r="G11" i="1"/>
  <c r="C11" i="1"/>
  <c r="D11" i="1"/>
  <c r="E11" i="1"/>
  <c r="F11" i="1"/>
  <c r="E12" i="1"/>
  <c r="D12" i="1"/>
  <c r="F12" i="1"/>
  <c r="C12" i="1"/>
  <c r="D31" i="4"/>
  <c r="B31" i="4"/>
  <c r="F6" i="10"/>
  <c r="D31" i="10"/>
  <c r="B31" i="3"/>
  <c r="F6" i="3"/>
  <c r="F2" i="10"/>
  <c r="F3" i="11" s="1"/>
  <c r="D31" i="2"/>
  <c r="D31" i="3"/>
  <c r="D31" i="8"/>
  <c r="B31" i="8"/>
  <c r="F6" i="8"/>
  <c r="F2" i="8"/>
  <c r="B31" i="5"/>
  <c r="F6" i="5"/>
  <c r="F2" i="2"/>
  <c r="B31" i="2"/>
  <c r="F6" i="4"/>
  <c r="F2" i="3"/>
  <c r="F2" i="5"/>
  <c r="D31" i="5"/>
  <c r="H6" i="26" l="1"/>
  <c r="H9" i="26" s="1"/>
  <c r="D31" i="26" s="1"/>
  <c r="D33" i="26" s="1"/>
  <c r="D35" i="26" s="1"/>
  <c r="F7" i="26"/>
  <c r="F9" i="26"/>
  <c r="J22" i="26"/>
  <c r="J21" i="26"/>
  <c r="F9" i="25"/>
  <c r="I20" i="25"/>
  <c r="H6" i="25"/>
  <c r="H9" i="25" s="1"/>
  <c r="J22" i="25"/>
  <c r="J21" i="25"/>
  <c r="I23" i="23"/>
  <c r="I24" i="23" s="1"/>
  <c r="J22" i="23" s="1"/>
  <c r="J21" i="23"/>
  <c r="B31" i="24"/>
  <c r="B33" i="24" s="1"/>
  <c r="B35" i="24" s="1"/>
  <c r="D31" i="24"/>
  <c r="D33" i="24" s="1"/>
  <c r="D35" i="24" s="1"/>
  <c r="F7" i="24"/>
  <c r="F9" i="24"/>
  <c r="I23" i="24"/>
  <c r="I24" i="24" s="1"/>
  <c r="F9" i="23"/>
  <c r="I20" i="23"/>
  <c r="H6" i="23"/>
  <c r="H9" i="23" s="1"/>
  <c r="I23" i="22"/>
  <c r="I24" i="22" s="1"/>
  <c r="J22" i="22" s="1"/>
  <c r="F9" i="22"/>
  <c r="F7" i="22"/>
  <c r="I20" i="22"/>
  <c r="H6" i="22"/>
  <c r="H9" i="22" s="1"/>
  <c r="B31" i="22" s="1"/>
  <c r="B33" i="22" s="1"/>
  <c r="B35" i="22" s="1"/>
  <c r="J21" i="21"/>
  <c r="I20" i="21"/>
  <c r="H6" i="21"/>
  <c r="H9" i="21" s="1"/>
  <c r="F9" i="21"/>
  <c r="J21" i="20"/>
  <c r="F9" i="20"/>
  <c r="H6" i="20"/>
  <c r="H9" i="20" s="1"/>
  <c r="J21" i="19"/>
  <c r="F9" i="19"/>
  <c r="H6" i="19"/>
  <c r="H9" i="19" s="1"/>
  <c r="F9" i="18"/>
  <c r="H6" i="18"/>
  <c r="H9" i="18" s="1"/>
  <c r="F7" i="11"/>
  <c r="F9" i="16"/>
  <c r="F9" i="17"/>
  <c r="H6" i="17"/>
  <c r="H9" i="17" s="1"/>
  <c r="B31" i="17" s="1"/>
  <c r="B33" i="17" s="1"/>
  <c r="B35" i="17" s="1"/>
  <c r="F7" i="16"/>
  <c r="H6" i="16"/>
  <c r="H9" i="16" s="1"/>
  <c r="D31" i="16" s="1"/>
  <c r="D35" i="16" s="1"/>
  <c r="F6" i="15"/>
  <c r="H6" i="15" s="1"/>
  <c r="H9" i="15" s="1"/>
  <c r="D31" i="15" s="1"/>
  <c r="D33" i="15" s="1"/>
  <c r="D35" i="15" s="1"/>
  <c r="F9" i="15"/>
  <c r="F3" i="8"/>
  <c r="F7" i="5"/>
  <c r="F7" i="3"/>
  <c r="F9" i="12"/>
  <c r="F7" i="15"/>
  <c r="F7" i="13"/>
  <c r="F9" i="13"/>
  <c r="F9" i="14"/>
  <c r="F3" i="13"/>
  <c r="F3" i="14"/>
  <c r="F7" i="14"/>
  <c r="H6" i="14"/>
  <c r="H9" i="14" s="1"/>
  <c r="H6" i="13"/>
  <c r="H9" i="13" s="1"/>
  <c r="H6" i="12"/>
  <c r="H9" i="12" s="1"/>
  <c r="D30" i="11"/>
  <c r="D32" i="11" s="1"/>
  <c r="D34" i="11" s="1"/>
  <c r="B30" i="11"/>
  <c r="B32" i="11" s="1"/>
  <c r="B34" i="11" s="1"/>
  <c r="F3" i="10"/>
  <c r="F7" i="2"/>
  <c r="F7" i="8"/>
  <c r="F7" i="10"/>
  <c r="F3" i="5"/>
  <c r="F7" i="4"/>
  <c r="F3" i="4"/>
  <c r="H6" i="10"/>
  <c r="H9" i="10" s="1"/>
  <c r="H6" i="2"/>
  <c r="H9" i="2" s="1"/>
  <c r="B30" i="2" s="1"/>
  <c r="B32" i="2" s="1"/>
  <c r="B34" i="2" s="1"/>
  <c r="F3" i="2"/>
  <c r="F3" i="3"/>
  <c r="H6" i="3"/>
  <c r="H9" i="3" s="1"/>
  <c r="B30" i="3" s="1"/>
  <c r="B32" i="3" s="1"/>
  <c r="B34" i="3" s="1"/>
  <c r="H6" i="8"/>
  <c r="H9" i="8" s="1"/>
  <c r="B30" i="8" s="1"/>
  <c r="B32" i="8" s="1"/>
  <c r="B34" i="8" s="1"/>
  <c r="H6" i="4"/>
  <c r="H9" i="4" s="1"/>
  <c r="H6" i="5"/>
  <c r="H9" i="5" s="1"/>
  <c r="B31" i="26" l="1"/>
  <c r="B33" i="26" s="1"/>
  <c r="B35" i="26" s="1"/>
  <c r="D31" i="25"/>
  <c r="D33" i="25" s="1"/>
  <c r="D35" i="25" s="1"/>
  <c r="B31" i="25"/>
  <c r="B33" i="25" s="1"/>
  <c r="B35" i="25" s="1"/>
  <c r="J21" i="24"/>
  <c r="J22" i="24"/>
  <c r="D31" i="23"/>
  <c r="D33" i="23" s="1"/>
  <c r="D35" i="23" s="1"/>
  <c r="B31" i="23"/>
  <c r="B33" i="23" s="1"/>
  <c r="B35" i="23" s="1"/>
  <c r="J21" i="22"/>
  <c r="D31" i="22"/>
  <c r="D33" i="22" s="1"/>
  <c r="D35" i="22" s="1"/>
  <c r="B31" i="21"/>
  <c r="B33" i="21" s="1"/>
  <c r="B35" i="21" s="1"/>
  <c r="D31" i="21"/>
  <c r="D33" i="21" s="1"/>
  <c r="D35" i="21" s="1"/>
  <c r="D31" i="20"/>
  <c r="D33" i="20" s="1"/>
  <c r="D35" i="20" s="1"/>
  <c r="B31" i="20"/>
  <c r="B33" i="20" s="1"/>
  <c r="B35" i="20" s="1"/>
  <c r="D31" i="19"/>
  <c r="D33" i="19" s="1"/>
  <c r="D35" i="19" s="1"/>
  <c r="B31" i="19"/>
  <c r="B33" i="19" s="1"/>
  <c r="B35" i="19" s="1"/>
  <c r="D31" i="18"/>
  <c r="D33" i="18" s="1"/>
  <c r="D35" i="18" s="1"/>
  <c r="B31" i="18"/>
  <c r="B33" i="18" s="1"/>
  <c r="B35" i="18" s="1"/>
  <c r="D31" i="17"/>
  <c r="D33" i="17" s="1"/>
  <c r="D35" i="17" s="1"/>
  <c r="B31" i="16"/>
  <c r="B31" i="15"/>
  <c r="B33" i="15" s="1"/>
  <c r="B35" i="15" s="1"/>
  <c r="D31" i="14"/>
  <c r="D33" i="14" s="1"/>
  <c r="D35" i="14" s="1"/>
  <c r="B31" i="14"/>
  <c r="B33" i="14" s="1"/>
  <c r="B35" i="14" s="1"/>
  <c r="D30" i="13"/>
  <c r="D32" i="13" s="1"/>
  <c r="D34" i="13" s="1"/>
  <c r="B30" i="13"/>
  <c r="B32" i="13" s="1"/>
  <c r="B34" i="13" s="1"/>
  <c r="D30" i="12"/>
  <c r="D32" i="12" s="1"/>
  <c r="D34" i="12" s="1"/>
  <c r="B30" i="12"/>
  <c r="B32" i="12" s="1"/>
  <c r="B34" i="12" s="1"/>
  <c r="D30" i="2"/>
  <c r="D32" i="2" s="1"/>
  <c r="D34" i="2" s="1"/>
  <c r="D30" i="3"/>
  <c r="D32" i="3" s="1"/>
  <c r="D34" i="3" s="1"/>
  <c r="D30" i="10"/>
  <c r="D32" i="10" s="1"/>
  <c r="D34" i="10" s="1"/>
  <c r="B30" i="10"/>
  <c r="D30" i="8"/>
  <c r="D32" i="8" s="1"/>
  <c r="D34" i="8" s="1"/>
  <c r="B30" i="4"/>
  <c r="B32" i="4" s="1"/>
  <c r="B34" i="4" s="1"/>
  <c r="D30" i="4"/>
  <c r="D32" i="4" s="1"/>
  <c r="D34" i="4" s="1"/>
  <c r="D30" i="5"/>
  <c r="D32" i="5" s="1"/>
  <c r="D34" i="5" s="1"/>
  <c r="B30" i="5"/>
  <c r="B32" i="5" s="1"/>
  <c r="B34" i="5" s="1"/>
  <c r="B33" i="16" l="1"/>
  <c r="B35" i="16" s="1"/>
  <c r="B32" i="10"/>
  <c r="B3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E1" authorId="0" shapeId="0" xr:uid="{15FC49FB-C38C-4628-81F9-605ACA638FA6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Saras första fulltidslön</t>
        </r>
      </text>
    </comment>
    <comment ref="G4" authorId="0" shapeId="0" xr:uid="{5825767B-665B-493D-B017-D450D03A5674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1500kr Bio Harvest
7500kr Invest Aktier
1500kr överföring</t>
        </r>
      </text>
    </comment>
    <comment ref="E7" authorId="0" shapeId="0" xr:uid="{63931FB3-846E-4458-82AC-71C46D8B7055}">
      <text>
        <r>
          <rPr>
            <b/>
            <sz val="9"/>
            <color indexed="81"/>
            <rFont val="Tahoma"/>
            <family val="2"/>
          </rPr>
          <t>Peter Svärd:</t>
        </r>
        <r>
          <rPr>
            <sz val="9"/>
            <color indexed="81"/>
            <rFont val="Tahoma"/>
            <family val="2"/>
          </rPr>
          <t xml:space="preserve">
Vigsel gåva 10000kr
</t>
        </r>
      </text>
    </comment>
    <comment ref="P11" authorId="0" shapeId="0" xr:uid="{DBAB8394-2250-4EAF-A5FA-6A09E54F7E89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Elsa 8000kr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9D6FDC6-3E38-4CF0-9D6E-72AE0F6E920D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Kusthotellet 4120
Brunch 600
Shopping 520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BFC3D32F-2A45-485A-BEC1-7867267FF70E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Kusthotellet 4120
Brunch 600
Shopping 520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8" authorId="0" shapeId="0" xr:uid="{71755359-8D0D-41D8-B6D2-430C6CC54797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BLIWA+Spotify+Hämtmat+Midsommar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8" authorId="0" shapeId="0" xr:uid="{494A0C10-9F1C-4384-9365-C7AB0A1ED5F3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BLIWA+Spotify+Hämtmat+Midsommar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57E63546-D5B3-4708-BAF7-2D163BB5EF46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Vigsel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11" authorId="0" shapeId="0" xr:uid="{A73F8133-BE10-4B3A-90D0-828F18A3B586}">
      <text>
        <r>
          <rPr>
            <b/>
            <sz val="9"/>
            <color indexed="81"/>
            <rFont val="Tahoma"/>
            <family val="2"/>
          </rPr>
          <t>Peter Svärd:</t>
        </r>
        <r>
          <rPr>
            <sz val="9"/>
            <color indexed="81"/>
            <rFont val="Tahoma"/>
            <family val="2"/>
          </rPr>
          <t xml:space="preserve">
300kr har peter fått
När Sara för över pengar så skall det vara minus 300kr.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B2" authorId="0" shapeId="0" xr:uid="{1C3CA9DB-E352-4317-9923-BB8985645F21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Semesterersättningen utbetald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32BA4608-E319-42FC-B675-7E05DDEB0583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HM, Skolfoto, Handledarkurs, Liseberg och Hål i öronen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0A84F65C-81AC-454A-A25E-2A064409DEE2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11BD74D9-EB9E-4575-A5A5-8D2D4613FC72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4687B693-C202-493B-A359-4F78F3CF1507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HM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Svärd</author>
  </authors>
  <commentList>
    <comment ref="D8" authorId="0" shapeId="0" xr:uid="{CC402AC9-FF5D-46D7-8156-F78ADBAE36CE}">
      <text>
        <r>
          <rPr>
            <b/>
            <sz val="9"/>
            <color indexed="81"/>
            <rFont val="Tahoma"/>
            <charset val="1"/>
          </rPr>
          <t>Peter Svärd:</t>
        </r>
        <r>
          <rPr>
            <sz val="9"/>
            <color indexed="81"/>
            <rFont val="Tahoma"/>
            <charset val="1"/>
          </rPr>
          <t xml:space="preserve">
Elsa 6000kr
Gerts Present
Klösmöbel
</t>
        </r>
      </text>
    </comment>
  </commentList>
</comments>
</file>

<file path=xl/sharedStrings.xml><?xml version="1.0" encoding="utf-8"?>
<sst xmlns="http://schemas.openxmlformats.org/spreadsheetml/2006/main" count="1314" uniqueCount="104">
  <si>
    <t>Santander</t>
  </si>
  <si>
    <t>Telenor</t>
  </si>
  <si>
    <t>Trängselskatt</t>
  </si>
  <si>
    <t>Unionen</t>
  </si>
  <si>
    <t>Hyra</t>
  </si>
  <si>
    <t>Netflix</t>
  </si>
  <si>
    <t>Disney+</t>
  </si>
  <si>
    <t>Amazon Prime</t>
  </si>
  <si>
    <t>Handels</t>
  </si>
  <si>
    <t>El</t>
  </si>
  <si>
    <t>Telia</t>
  </si>
  <si>
    <t>Förskola</t>
  </si>
  <si>
    <t>Övrigt</t>
  </si>
  <si>
    <t>Peter</t>
  </si>
  <si>
    <t>Sara</t>
  </si>
  <si>
    <t>Bil</t>
  </si>
  <si>
    <t>Familj</t>
  </si>
  <si>
    <t>Totalt</t>
  </si>
  <si>
    <t>Peter (ISK)</t>
  </si>
  <si>
    <t>Alice (ISK)</t>
  </si>
  <si>
    <t>Ellen (ISK)</t>
  </si>
  <si>
    <t>TOTALT</t>
  </si>
  <si>
    <t>% Öka/Minska</t>
  </si>
  <si>
    <t>Tot Inkomster</t>
  </si>
  <si>
    <t>Inkomst</t>
  </si>
  <si>
    <t>Nordic Wellness</t>
  </si>
  <si>
    <t>Prime</t>
  </si>
  <si>
    <t>ICA - Mat</t>
  </si>
  <si>
    <t>Ikano Bank</t>
  </si>
  <si>
    <t>HM</t>
  </si>
  <si>
    <t>Resturs Bank</t>
  </si>
  <si>
    <t>Kattmat</t>
  </si>
  <si>
    <t>LF Motor</t>
  </si>
  <si>
    <t>LF Hem</t>
  </si>
  <si>
    <t>Spara Familjen</t>
  </si>
  <si>
    <t>Ingo</t>
  </si>
  <si>
    <t>Spara Bilen</t>
  </si>
  <si>
    <t>Tot gem. Räkningar</t>
  </si>
  <si>
    <t>Gemensamma räkningar minus Totala inkomster</t>
  </si>
  <si>
    <t>Gem. Räk. TOT</t>
  </si>
  <si>
    <t>Spotify</t>
  </si>
  <si>
    <t>Synoptik</t>
  </si>
  <si>
    <t>Nöje per person</t>
  </si>
  <si>
    <t>Tandförsäk.</t>
  </si>
  <si>
    <t>Tandläkaren</t>
  </si>
  <si>
    <t>Snus</t>
  </si>
  <si>
    <t>Spara Peter</t>
  </si>
  <si>
    <t>Särö-Hus</t>
  </si>
  <si>
    <t>Google play</t>
  </si>
  <si>
    <t>Spending TOT</t>
  </si>
  <si>
    <t>Spending kvar</t>
  </si>
  <si>
    <t>Resultat</t>
  </si>
  <si>
    <t>Över/Underskott</t>
  </si>
  <si>
    <t>Kontroll summa</t>
  </si>
  <si>
    <t>Prime (11:e)</t>
  </si>
  <si>
    <t>Disney+ (30:e)</t>
  </si>
  <si>
    <t>LF Motor (1:e)</t>
  </si>
  <si>
    <t>LF Hem  (1:e)</t>
  </si>
  <si>
    <t>Netflix (30:e)</t>
  </si>
  <si>
    <t>Bliwa livsför.</t>
  </si>
  <si>
    <t>Spotify (3:e)</t>
  </si>
  <si>
    <t>Nordea Kreditkort</t>
  </si>
  <si>
    <t>World of Warcraft (4:e)</t>
  </si>
  <si>
    <t>Sololearn (24:e)</t>
  </si>
  <si>
    <t>CSN</t>
  </si>
  <si>
    <t>Västtrafik</t>
  </si>
  <si>
    <t>Yousitian</t>
  </si>
  <si>
    <t>Santander/Anyfin</t>
  </si>
  <si>
    <t>Tandförsäkring (28:e)</t>
  </si>
  <si>
    <t>Hyra (30:e)</t>
  </si>
  <si>
    <t>Youcitian (30:e)</t>
  </si>
  <si>
    <t>Trend</t>
  </si>
  <si>
    <t>Peter Aktier</t>
  </si>
  <si>
    <t>Datum</t>
  </si>
  <si>
    <t>Insättning/uttag</t>
  </si>
  <si>
    <t>Summa</t>
  </si>
  <si>
    <t>Peter Sparande</t>
  </si>
  <si>
    <t>OBS, bonus föregående månad</t>
  </si>
  <si>
    <t>Spara Helgnöje</t>
  </si>
  <si>
    <t>Bliwa liv.försäk.</t>
  </si>
  <si>
    <t>Helgnöje</t>
  </si>
  <si>
    <t>Kr Öka/Minska</t>
  </si>
  <si>
    <t>HBO Nordic</t>
  </si>
  <si>
    <t>Sparande</t>
  </si>
  <si>
    <t>ISK</t>
  </si>
  <si>
    <t>plus/minus kr snitt 6 mån</t>
  </si>
  <si>
    <t>-</t>
  </si>
  <si>
    <t xml:space="preserve">Övrigt </t>
  </si>
  <si>
    <t>Mammas skuld</t>
  </si>
  <si>
    <t>Bliwa</t>
  </si>
  <si>
    <t>P kvar</t>
  </si>
  <si>
    <t>S kvar</t>
  </si>
  <si>
    <t>Tot kvar</t>
  </si>
  <si>
    <t>Delat på två</t>
  </si>
  <si>
    <t>Försäkring Elsa</t>
  </si>
  <si>
    <t>Avbet. Bilen</t>
  </si>
  <si>
    <t>Snittinkomst 12m</t>
  </si>
  <si>
    <t>Vanlig månad</t>
  </si>
  <si>
    <t>Månad Peter nytt jobb</t>
  </si>
  <si>
    <t>Sara Mammaledig, Peter nytt jobb</t>
  </si>
  <si>
    <t>Sara Mammaledig (7 bra dagar)</t>
  </si>
  <si>
    <t>Spel Övrigt</t>
  </si>
  <si>
    <t>Sparande Saldo</t>
  </si>
  <si>
    <t>Förskola/Fritids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</si>
</sst>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kr&quot;_-;\-* #,##0\ &quot;kr&quot;_-;_-* &quot;-&quot;\ &quot;kr&quot;_-;_-@_-"/>
    <numFmt numFmtId="44" formatCode="_-* #,##0.00\ &quot;kr&quot;_-;\-* #,##0.00\ &quot;kr&quot;_-;_-* &quot;-&quot;??\ &quot;kr&quot;_-;_-@_-"/>
    <numFmt numFmtId="164" formatCode="#,##0.00&quot; &quot;[$kr-41D];[Red]&quot;-&quot;#,##0.00&quot; &quot;[$kr-41D]"/>
    <numFmt numFmtId="165" formatCode="[$-41D]0.00%"/>
    <numFmt numFmtId="166" formatCode="&quot; &quot;#,##0&quot; kr &quot;;&quot;-&quot;#,##0&quot; kr &quot;;&quot; -&quot;#&quot; kr &quot;;@&quot; &quot;"/>
    <numFmt numFmtId="167" formatCode="&quot; &quot;#,##0.00&quot; kr &quot;;&quot;-&quot;#,##0.00&quot; kr &quot;;&quot; -&quot;#&quot; kr &quot;;@&quot; &quot;"/>
    <numFmt numFmtId="168" formatCode="#,##0&quot; &quot;[$kr-41D];[Red]&quot;-&quot;#,##0&quot; &quot;[$kr-41D]"/>
    <numFmt numFmtId="169" formatCode="[$-41D]General"/>
    <numFmt numFmtId="170" formatCode="yy/mm/dd;@"/>
    <numFmt numFmtId="171" formatCode="0.0%"/>
  </numFmts>
  <fonts count="3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9C0006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D9D9D9"/>
        <bgColor rgb="FFD9D9D9"/>
      </patternFill>
    </fill>
    <fill>
      <patternFill patternType="solid">
        <fgColor rgb="FFC5E0B4"/>
        <bgColor rgb="FFC5E0B4"/>
      </patternFill>
    </fill>
    <fill>
      <patternFill patternType="solid">
        <fgColor rgb="FF83CAFF"/>
        <bgColor rgb="FF83CAFF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169" fontId="3" fillId="2" borderId="0"/>
    <xf numFmtId="167" fontId="2" fillId="0" borderId="0"/>
    <xf numFmtId="169" fontId="4" fillId="3" borderId="0"/>
    <xf numFmtId="169" fontId="5" fillId="4" borderId="0"/>
    <xf numFmtId="169" fontId="2" fillId="0" borderId="0"/>
    <xf numFmtId="169" fontId="6" fillId="0" borderId="0"/>
    <xf numFmtId="0" fontId="7" fillId="0" borderId="0">
      <alignment horizontal="center"/>
    </xf>
    <xf numFmtId="169" fontId="8" fillId="0" borderId="0">
      <alignment horizontal="center"/>
    </xf>
    <xf numFmtId="0" fontId="7" fillId="0" borderId="0">
      <alignment horizontal="center" textRotation="90"/>
    </xf>
    <xf numFmtId="169" fontId="8" fillId="0" borderId="0">
      <alignment horizontal="center" textRotation="90"/>
    </xf>
    <xf numFmtId="0" fontId="9" fillId="0" borderId="0"/>
    <xf numFmtId="169" fontId="10" fillId="0" borderId="0"/>
    <xf numFmtId="164" fontId="9" fillId="0" borderId="0"/>
    <xf numFmtId="164" fontId="10" fillId="0" borderId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9" fontId="30" fillId="0" borderId="0" applyFont="0" applyFill="0" applyBorder="0" applyAlignment="0" applyProtection="0"/>
  </cellStyleXfs>
  <cellXfs count="98">
    <xf numFmtId="0" fontId="0" fillId="0" borderId="0" xfId="0"/>
    <xf numFmtId="169" fontId="6" fillId="0" borderId="0" xfId="7"/>
    <xf numFmtId="169" fontId="11" fillId="0" borderId="0" xfId="7" applyFont="1"/>
    <xf numFmtId="166" fontId="6" fillId="0" borderId="0" xfId="3" applyNumberFormat="1" applyFont="1" applyFill="1" applyBorder="1" applyAlignment="1" applyProtection="1"/>
    <xf numFmtId="169" fontId="6" fillId="0" borderId="1" xfId="7" applyBorder="1"/>
    <xf numFmtId="166" fontId="6" fillId="0" borderId="1" xfId="3" applyNumberFormat="1" applyFont="1" applyFill="1" applyBorder="1" applyAlignment="1" applyProtection="1"/>
    <xf numFmtId="169" fontId="11" fillId="5" borderId="2" xfId="7" applyFont="1" applyFill="1" applyBorder="1"/>
    <xf numFmtId="168" fontId="6" fillId="0" borderId="0" xfId="7" applyNumberFormat="1"/>
    <xf numFmtId="164" fontId="6" fillId="0" borderId="0" xfId="7" applyNumberFormat="1"/>
    <xf numFmtId="169" fontId="6" fillId="0" borderId="0" xfId="7" applyBorder="1"/>
    <xf numFmtId="168" fontId="6" fillId="0" borderId="0" xfId="3" applyNumberFormat="1" applyFont="1" applyFill="1" applyBorder="1" applyAlignment="1" applyProtection="1"/>
    <xf numFmtId="168" fontId="6" fillId="0" borderId="1" xfId="3" applyNumberFormat="1" applyFont="1" applyFill="1" applyBorder="1" applyAlignment="1" applyProtection="1"/>
    <xf numFmtId="164" fontId="6" fillId="0" borderId="1" xfId="7" applyNumberFormat="1" applyBorder="1"/>
    <xf numFmtId="169" fontId="12" fillId="0" borderId="0" xfId="6" applyFont="1"/>
    <xf numFmtId="167" fontId="12" fillId="0" borderId="0" xfId="3" applyFont="1" applyFill="1" applyBorder="1" applyAlignment="1" applyProtection="1"/>
    <xf numFmtId="169" fontId="12" fillId="0" borderId="3" xfId="6" applyFont="1" applyBorder="1"/>
    <xf numFmtId="167" fontId="2" fillId="0" borderId="0" xfId="3" applyFont="1" applyFill="1" applyBorder="1" applyAlignment="1" applyProtection="1"/>
    <xf numFmtId="169" fontId="2" fillId="0" borderId="0" xfId="6"/>
    <xf numFmtId="167" fontId="12" fillId="0" borderId="0" xfId="6" applyNumberFormat="1" applyFont="1"/>
    <xf numFmtId="169" fontId="2" fillId="0" borderId="3" xfId="6" applyBorder="1"/>
    <xf numFmtId="167" fontId="2" fillId="0" borderId="0" xfId="6" applyNumberFormat="1"/>
    <xf numFmtId="169" fontId="2" fillId="0" borderId="0" xfId="6" applyFont="1" applyFill="1"/>
    <xf numFmtId="169" fontId="2" fillId="0" borderId="3" xfId="6" applyFont="1" applyBorder="1"/>
    <xf numFmtId="169" fontId="12" fillId="0" borderId="3" xfId="6" applyFont="1" applyFill="1" applyBorder="1"/>
    <xf numFmtId="169" fontId="2" fillId="0" borderId="0" xfId="6" applyFill="1"/>
    <xf numFmtId="169" fontId="12" fillId="7" borderId="1" xfId="6" applyFont="1" applyFill="1" applyBorder="1" applyAlignment="1">
      <alignment vertical="center"/>
    </xf>
    <xf numFmtId="169" fontId="12" fillId="8" borderId="4" xfId="6" applyFont="1" applyFill="1" applyBorder="1" applyAlignment="1">
      <alignment vertical="center"/>
    </xf>
    <xf numFmtId="169" fontId="12" fillId="8" borderId="1" xfId="6" applyFont="1" applyFill="1" applyBorder="1" applyAlignment="1">
      <alignment vertical="center"/>
    </xf>
    <xf numFmtId="167" fontId="12" fillId="7" borderId="1" xfId="3" applyFont="1" applyFill="1" applyBorder="1" applyAlignment="1" applyProtection="1"/>
    <xf numFmtId="167" fontId="2" fillId="8" borderId="1" xfId="3" applyFont="1" applyFill="1" applyBorder="1" applyAlignment="1" applyProtection="1"/>
    <xf numFmtId="164" fontId="2" fillId="0" borderId="0" xfId="6" applyNumberFormat="1"/>
    <xf numFmtId="169" fontId="12" fillId="6" borderId="1" xfId="6" applyFont="1" applyFill="1" applyBorder="1"/>
    <xf numFmtId="167" fontId="12" fillId="6" borderId="1" xfId="3" applyFont="1" applyFill="1" applyBorder="1" applyAlignment="1" applyProtection="1"/>
    <xf numFmtId="169" fontId="12" fillId="6" borderId="4" xfId="6" applyFont="1" applyFill="1" applyBorder="1"/>
    <xf numFmtId="169" fontId="13" fillId="0" borderId="0" xfId="6" applyFont="1" applyFill="1"/>
    <xf numFmtId="167" fontId="13" fillId="0" borderId="0" xfId="3" applyFont="1" applyFill="1" applyBorder="1" applyAlignment="1" applyProtection="1"/>
    <xf numFmtId="169" fontId="13" fillId="0" borderId="3" xfId="6" applyFont="1" applyBorder="1"/>
    <xf numFmtId="165" fontId="2" fillId="0" borderId="0" xfId="6" applyNumberFormat="1"/>
    <xf numFmtId="0" fontId="0" fillId="0" borderId="3" xfId="0" applyBorder="1"/>
    <xf numFmtId="44" fontId="2" fillId="0" borderId="0" xfId="1" applyFont="1"/>
    <xf numFmtId="14" fontId="2" fillId="0" borderId="0" xfId="6" applyNumberFormat="1" applyAlignment="1">
      <alignment horizontal="left"/>
    </xf>
    <xf numFmtId="14" fontId="2" fillId="0" borderId="5" xfId="6" applyNumberFormat="1" applyBorder="1" applyAlignment="1">
      <alignment horizontal="left"/>
    </xf>
    <xf numFmtId="164" fontId="2" fillId="0" borderId="5" xfId="6" applyNumberFormat="1" applyBorder="1"/>
    <xf numFmtId="169" fontId="2" fillId="0" borderId="5" xfId="6" applyBorder="1"/>
    <xf numFmtId="170" fontId="2" fillId="0" borderId="6" xfId="6" applyNumberFormat="1" applyBorder="1" applyAlignment="1">
      <alignment horizontal="left"/>
    </xf>
    <xf numFmtId="170" fontId="2" fillId="0" borderId="7" xfId="6" applyNumberFormat="1" applyBorder="1" applyAlignment="1">
      <alignment horizontal="left"/>
    </xf>
    <xf numFmtId="44" fontId="0" fillId="0" borderId="0" xfId="1" applyFont="1"/>
    <xf numFmtId="171" fontId="15" fillId="10" borderId="0" xfId="17" applyNumberFormat="1"/>
    <xf numFmtId="171" fontId="14" fillId="9" borderId="0" xfId="16" applyNumberFormat="1"/>
    <xf numFmtId="171" fontId="16" fillId="11" borderId="0" xfId="18" applyNumberFormat="1"/>
    <xf numFmtId="169" fontId="2" fillId="0" borderId="6" xfId="6" applyBorder="1"/>
    <xf numFmtId="0" fontId="0" fillId="0" borderId="6" xfId="0" applyBorder="1"/>
    <xf numFmtId="164" fontId="2" fillId="0" borderId="0" xfId="6" applyNumberFormat="1" applyFill="1"/>
    <xf numFmtId="165" fontId="2" fillId="0" borderId="0" xfId="6" applyNumberFormat="1" applyFill="1"/>
    <xf numFmtId="44" fontId="6" fillId="0" borderId="0" xfId="1" applyFont="1"/>
    <xf numFmtId="44" fontId="6" fillId="0" borderId="1" xfId="1" applyFont="1" applyBorder="1"/>
    <xf numFmtId="170" fontId="2" fillId="0" borderId="0" xfId="6" applyNumberFormat="1"/>
    <xf numFmtId="42" fontId="2" fillId="0" borderId="0" xfId="1" applyNumberFormat="1" applyFont="1"/>
    <xf numFmtId="42" fontId="2" fillId="0" borderId="0" xfId="1" applyNumberFormat="1" applyFont="1" applyFill="1"/>
    <xf numFmtId="169" fontId="21" fillId="0" borderId="0" xfId="7" applyFont="1"/>
    <xf numFmtId="42" fontId="22" fillId="10" borderId="0" xfId="17" applyNumberFormat="1" applyFont="1"/>
    <xf numFmtId="42" fontId="23" fillId="9" borderId="0" xfId="16" applyNumberFormat="1" applyFont="1"/>
    <xf numFmtId="0" fontId="24" fillId="0" borderId="0" xfId="0" applyFont="1"/>
    <xf numFmtId="165" fontId="22" fillId="10" borderId="0" xfId="17" applyNumberFormat="1" applyFont="1"/>
    <xf numFmtId="165" fontId="23" fillId="9" borderId="0" xfId="16" applyNumberFormat="1" applyFont="1"/>
    <xf numFmtId="169" fontId="25" fillId="0" borderId="0" xfId="7" applyFont="1"/>
    <xf numFmtId="42" fontId="25" fillId="0" borderId="0" xfId="1" applyNumberFormat="1" applyFont="1" applyFill="1" applyBorder="1" applyAlignment="1" applyProtection="1"/>
    <xf numFmtId="0" fontId="26" fillId="0" borderId="0" xfId="0" applyFont="1"/>
    <xf numFmtId="0" fontId="27" fillId="0" borderId="0" xfId="0" applyFont="1"/>
    <xf numFmtId="44" fontId="6" fillId="0" borderId="5" xfId="1" applyFont="1" applyBorder="1"/>
    <xf numFmtId="169" fontId="28" fillId="0" borderId="0" xfId="6" applyFont="1" applyFill="1"/>
    <xf numFmtId="167" fontId="28" fillId="0" borderId="0" xfId="3" applyFont="1" applyFill="1" applyBorder="1" applyAlignment="1" applyProtection="1"/>
    <xf numFmtId="167" fontId="2" fillId="0" borderId="0" xfId="6" applyNumberFormat="1" applyFont="1" applyFill="1" applyAlignment="1">
      <alignment horizontal="left"/>
    </xf>
    <xf numFmtId="169" fontId="2" fillId="0" borderId="0" xfId="6" applyFont="1" applyFill="1" applyAlignment="1">
      <alignment horizontal="left"/>
    </xf>
    <xf numFmtId="44" fontId="2" fillId="0" borderId="0" xfId="1" applyFont="1" applyFill="1" applyAlignment="1">
      <alignment horizontal="left"/>
    </xf>
    <xf numFmtId="167" fontId="12" fillId="0" borderId="0" xfId="6" applyNumberFormat="1" applyFont="1" applyFill="1" applyAlignment="1">
      <alignment horizontal="left"/>
    </xf>
    <xf numFmtId="169" fontId="2" fillId="0" borderId="0" xfId="6" applyFill="1" applyAlignment="1">
      <alignment horizontal="left"/>
    </xf>
    <xf numFmtId="44" fontId="2" fillId="0" borderId="0" xfId="1" applyFont="1" applyFill="1" applyBorder="1" applyAlignment="1" applyProtection="1"/>
    <xf numFmtId="169" fontId="4" fillId="3" borderId="0" xfId="4"/>
    <xf numFmtId="44" fontId="12" fillId="7" borderId="1" xfId="1" applyFont="1" applyFill="1" applyBorder="1" applyAlignment="1" applyProtection="1"/>
    <xf numFmtId="44" fontId="12" fillId="6" borderId="1" xfId="1" applyFont="1" applyFill="1" applyBorder="1" applyAlignment="1" applyProtection="1"/>
    <xf numFmtId="44" fontId="28" fillId="0" borderId="0" xfId="1" applyFont="1" applyFill="1" applyBorder="1" applyAlignment="1" applyProtection="1"/>
    <xf numFmtId="44" fontId="12" fillId="0" borderId="0" xfId="1" applyFont="1" applyFill="1" applyBorder="1" applyAlignment="1" applyProtection="1"/>
    <xf numFmtId="44" fontId="4" fillId="3" borderId="0" xfId="1" applyFont="1" applyFill="1"/>
    <xf numFmtId="44" fontId="15" fillId="10" borderId="0" xfId="17" applyNumberFormat="1"/>
    <xf numFmtId="44" fontId="14" fillId="9" borderId="0" xfId="16" applyNumberFormat="1"/>
    <xf numFmtId="169" fontId="28" fillId="0" borderId="3" xfId="6" applyFont="1" applyBorder="1"/>
    <xf numFmtId="42" fontId="15" fillId="10" borderId="0" xfId="17" applyNumberFormat="1"/>
    <xf numFmtId="165" fontId="15" fillId="10" borderId="0" xfId="17" applyNumberFormat="1"/>
    <xf numFmtId="165" fontId="14" fillId="9" borderId="0" xfId="16" applyNumberFormat="1"/>
    <xf numFmtId="44" fontId="29" fillId="0" borderId="0" xfId="1" applyFont="1" applyFill="1" applyBorder="1" applyAlignment="1" applyProtection="1"/>
    <xf numFmtId="42" fontId="14" fillId="9" borderId="0" xfId="16" applyNumberFormat="1"/>
    <xf numFmtId="9" fontId="2" fillId="0" borderId="0" xfId="19" applyFont="1"/>
    <xf numFmtId="4" fontId="0" fillId="0" borderId="0" xfId="0" applyNumberFormat="1"/>
    <xf numFmtId="169" fontId="2" fillId="0" borderId="0" xfId="19" applyNumberFormat="1" applyFont="1"/>
    <xf numFmtId="169" fontId="12" fillId="0" borderId="0" xfId="6" applyFont="1" applyFill="1"/>
    <xf numFmtId="14" fontId="11" fillId="5" borderId="2" xfId="7" applyNumberFormat="1" applyFont="1" applyFill="1" applyBorder="1"/>
    <xf numFmtId="169" fontId="2" fillId="0" borderId="0" xfId="6" applyFont="1"/>
  </cellXfs>
  <cellStyles count="20">
    <cellStyle name="Bra" xfId="16" builtinId="26"/>
    <cellStyle name="Dålig" xfId="17" builtinId="27"/>
    <cellStyle name="Excel Built-in Bad" xfId="2" xr:uid="{00000000-0005-0000-0000-000000000000}"/>
    <cellStyle name="Excel Built-in Currency" xfId="3" xr:uid="{00000000-0005-0000-0000-000001000000}"/>
    <cellStyle name="Excel Built-in Good" xfId="4" xr:uid="{00000000-0005-0000-0000-000002000000}"/>
    <cellStyle name="Excel Built-in Neutral" xfId="5" xr:uid="{00000000-0005-0000-0000-000003000000}"/>
    <cellStyle name="Excel Built-in Normal" xfId="6" xr:uid="{00000000-0005-0000-0000-000004000000}"/>
    <cellStyle name="Excel Built-in Normal 1" xfId="7" xr:uid="{00000000-0005-0000-0000-000005000000}"/>
    <cellStyle name="Heading" xfId="8" xr:uid="{00000000-0005-0000-0000-000006000000}"/>
    <cellStyle name="Heading 1" xfId="9" xr:uid="{00000000-0005-0000-0000-000007000000}"/>
    <cellStyle name="Heading1" xfId="10" xr:uid="{00000000-0005-0000-0000-000008000000}"/>
    <cellStyle name="Heading1 1" xfId="11" xr:uid="{00000000-0005-0000-0000-000009000000}"/>
    <cellStyle name="Neutral" xfId="18" builtinId="28"/>
    <cellStyle name="Normal" xfId="0" builtinId="0" customBuiltin="1"/>
    <cellStyle name="Procent" xfId="19" builtinId="5"/>
    <cellStyle name="Result" xfId="12" xr:uid="{00000000-0005-0000-0000-00000B000000}"/>
    <cellStyle name="Result 1" xfId="13" xr:uid="{00000000-0005-0000-0000-00000C000000}"/>
    <cellStyle name="Result2" xfId="14" xr:uid="{00000000-0005-0000-0000-00000D000000}"/>
    <cellStyle name="Result2 1" xfId="15" xr:uid="{00000000-0005-0000-0000-00000E000000}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Sparande!$A$10</c:f>
              <c:strCache>
                <c:ptCount val="1"/>
                <c:pt idx="0">
                  <c:v>TOTALT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Sparande!$B$1:$U$1</c:f>
              <c:numCache>
                <c:formatCode>m/d/yyyy</c:formatCode>
                <c:ptCount val="20"/>
                <c:pt idx="2">
                  <c:v>44221</c:v>
                </c:pt>
                <c:pt idx="3">
                  <c:v>44252</c:v>
                </c:pt>
                <c:pt idx="4">
                  <c:v>44280</c:v>
                </c:pt>
                <c:pt idx="5">
                  <c:v>44311</c:v>
                </c:pt>
                <c:pt idx="6">
                  <c:v>44341</c:v>
                </c:pt>
                <c:pt idx="7">
                  <c:v>44372</c:v>
                </c:pt>
                <c:pt idx="8">
                  <c:v>44402</c:v>
                </c:pt>
                <c:pt idx="9">
                  <c:v>44433</c:v>
                </c:pt>
                <c:pt idx="10">
                  <c:v>44464</c:v>
                </c:pt>
                <c:pt idx="11">
                  <c:v>44494</c:v>
                </c:pt>
                <c:pt idx="12">
                  <c:v>44525</c:v>
                </c:pt>
                <c:pt idx="13">
                  <c:v>44555</c:v>
                </c:pt>
                <c:pt idx="14">
                  <c:v>44586</c:v>
                </c:pt>
                <c:pt idx="15">
                  <c:v>44617</c:v>
                </c:pt>
                <c:pt idx="16">
                  <c:v>44645</c:v>
                </c:pt>
                <c:pt idx="17">
                  <c:v>44676</c:v>
                </c:pt>
                <c:pt idx="18">
                  <c:v>44706</c:v>
                </c:pt>
                <c:pt idx="19">
                  <c:v>44737</c:v>
                </c:pt>
              </c:numCache>
            </c:numRef>
          </c:cat>
          <c:val>
            <c:numRef>
              <c:f>Sparande!$B$10:$U$10</c:f>
              <c:numCache>
                <c:formatCode>_("kr"* #,##0_);_("kr"* \(#,##0\);_("kr"* "-"_);_(@_)</c:formatCode>
                <c:ptCount val="20"/>
                <c:pt idx="0">
                  <c:v>37371</c:v>
                </c:pt>
                <c:pt idx="1">
                  <c:v>33242</c:v>
                </c:pt>
                <c:pt idx="2">
                  <c:v>27201</c:v>
                </c:pt>
                <c:pt idx="3">
                  <c:v>53997</c:v>
                </c:pt>
                <c:pt idx="4">
                  <c:v>70881</c:v>
                </c:pt>
                <c:pt idx="5">
                  <c:v>98952</c:v>
                </c:pt>
                <c:pt idx="6">
                  <c:v>93602</c:v>
                </c:pt>
                <c:pt idx="7">
                  <c:v>104002</c:v>
                </c:pt>
                <c:pt idx="8">
                  <c:v>85202</c:v>
                </c:pt>
                <c:pt idx="9">
                  <c:v>83202</c:v>
                </c:pt>
                <c:pt idx="10">
                  <c:v>80502</c:v>
                </c:pt>
                <c:pt idx="11">
                  <c:v>67402</c:v>
                </c:pt>
                <c:pt idx="12">
                  <c:v>87617</c:v>
                </c:pt>
                <c:pt idx="13">
                  <c:v>84324</c:v>
                </c:pt>
                <c:pt idx="14">
                  <c:v>71025</c:v>
                </c:pt>
                <c:pt idx="15">
                  <c:v>65590</c:v>
                </c:pt>
                <c:pt idx="16">
                  <c:v>62870</c:v>
                </c:pt>
                <c:pt idx="17">
                  <c:v>62462</c:v>
                </c:pt>
                <c:pt idx="18">
                  <c:v>53932</c:v>
                </c:pt>
                <c:pt idx="19">
                  <c:v>79932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E7-4137-94CC-CD450DA8A7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0214800"/>
        <c:axId val="710213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Sparande!$A$2</c15:sqref>
                        </c15:formulaRef>
                      </c:ext>
                    </c:extLst>
                    <c:strCache>
                      <c:ptCount val="1"/>
                      <c:pt idx="0">
                        <c:v>Helgnöje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Sparande!$B$2:$U$2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0</c:v>
                      </c:pt>
                      <c:pt idx="1">
                        <c:v>900</c:v>
                      </c:pt>
                      <c:pt idx="2">
                        <c:v>0</c:v>
                      </c:pt>
                      <c:pt idx="3" formatCode="#\ ##0.00&quot; &quot;[$kr-41D];[Red]&quot;-&quot;#\ ##0.00&quot; &quot;[$kr-41D]">
                        <c:v>780</c:v>
                      </c:pt>
                      <c:pt idx="4" formatCode="_(&quot;kr&quot;* #,##0.00_);_(&quot;kr&quot;* \(#,##0.00\);_(&quot;kr&quot;* &quot;-&quot;??_);_(@_)">
                        <c:v>1300</c:v>
                      </c:pt>
                      <c:pt idx="5" formatCode="_(&quot;kr&quot;* #,##0.00_);_(&quot;kr&quot;* \(#,##0.00\);_(&quot;kr&quot;* &quot;-&quot;??_);_(@_)">
                        <c:v>1200</c:v>
                      </c:pt>
                      <c:pt idx="6" formatCode="_(&quot;kr&quot;* #,##0.00_);_(&quot;kr&quot;* \(#,##0.00\);_(&quot;kr&quot;* &quot;-&quot;??_);_(@_)">
                        <c:v>0</c:v>
                      </c:pt>
                      <c:pt idx="7" formatCode="_(&quot;kr&quot;* #,##0.00_);_(&quot;kr&quot;* \(#,##0.00\);_(&quot;kr&quot;* &quot;-&quot;??_);_(@_)">
                        <c:v>0</c:v>
                      </c:pt>
                      <c:pt idx="8" formatCode="_(&quot;kr&quot;* #,##0.00_);_(&quot;kr&quot;* \(#,##0.00\);_(&quot;kr&quot;* &quot;-&quot;??_);_(@_)">
                        <c:v>0</c:v>
                      </c:pt>
                      <c:pt idx="9" formatCode="_(&quot;kr&quot;* #,##0.00_);_(&quot;kr&quot;* \(#,##0.00\);_(&quot;kr&quot;* &quot;-&quot;??_);_(@_)">
                        <c:v>0</c:v>
                      </c:pt>
                      <c:pt idx="10" formatCode="_(&quot;kr&quot;* #,##0.00_);_(&quot;kr&quot;* \(#,##0.00\);_(&quot;kr&quot;* &quot;-&quot;??_);_(@_)">
                        <c:v>0</c:v>
                      </c:pt>
                      <c:pt idx="11" formatCode="_(&quot;kr&quot;* #,##0.00_);_(&quot;kr&quot;* \(#,##0.00\);_(&quot;kr&quot;* &quot;-&quot;??_);_(@_)">
                        <c:v>0</c:v>
                      </c:pt>
                      <c:pt idx="12" formatCode="_(&quot;kr&quot;* #,##0.00_);_(&quot;kr&quot;* \(#,##0.00\);_(&quot;kr&quot;* &quot;-&quot;??_);_(@_)">
                        <c:v>250</c:v>
                      </c:pt>
                      <c:pt idx="13" formatCode="_(&quot;kr&quot;* #,##0.00_);_(&quot;kr&quot;* \(#,##0.00\);_(&quot;kr&quot;* &quot;-&quot;??_);_(@_)">
                        <c:v>0</c:v>
                      </c:pt>
                      <c:pt idx="14" formatCode="_(&quot;kr&quot;* #,##0.00_);_(&quot;kr&quot;* \(#,##0.00\);_(&quot;kr&quot;* &quot;-&quot;??_);_(@_)">
                        <c:v>0</c:v>
                      </c:pt>
                      <c:pt idx="15" formatCode="_(&quot;kr&quot;* #,##0.00_);_(&quot;kr&quot;* \(#,##0.00\);_(&quot;kr&quot;* &quot;-&quot;??_);_(@_)">
                        <c:v>0</c:v>
                      </c:pt>
                      <c:pt idx="16" formatCode="_(&quot;kr&quot;* #,##0.00_);_(&quot;kr&quot;* \(#,##0.00\);_(&quot;kr&quot;* &quot;-&quot;??_);_(@_)">
                        <c:v>0</c:v>
                      </c:pt>
                      <c:pt idx="17" formatCode="_(&quot;kr&quot;* #,##0.00_);_(&quot;kr&quot;* \(#,##0.00\);_(&quot;kr&quot;* &quot;-&quot;??_);_(@_)">
                        <c:v>0</c:v>
                      </c:pt>
                      <c:pt idx="18" formatCode="_(&quot;kr&quot;* #,##0.00_);_(&quot;kr&quot;* \(#,##0.00\);_(&quot;kr&quot;* &quot;-&quot;??_);_(@_)">
                        <c:v>0</c:v>
                      </c:pt>
                      <c:pt idx="19" formatCode="_(&quot;kr&quot;* #,##0.00_);_(&quot;kr&quot;* \(#,##0.00\);_(&quot;kr&quot;* &quot;-&quot;??_);_(@_)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E7-4137-94CC-CD450DA8A7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Sparande!$A$3</c15:sqref>
                        </c15:formulaRef>
                      </c:ext>
                    </c:extLst>
                    <c:strCache>
                      <c:ptCount val="1"/>
                      <c:pt idx="0">
                        <c:v>Peter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Sparande!$B$3:$U$3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8079</c:v>
                      </c:pt>
                      <c:pt idx="1">
                        <c:v>7250</c:v>
                      </c:pt>
                      <c:pt idx="2">
                        <c:v>9725</c:v>
                      </c:pt>
                      <c:pt idx="3" formatCode="#\ ##0.00&quot; &quot;[$kr-41D];[Red]&quot;-&quot;#\ ##0.00&quot; &quot;[$kr-41D]">
                        <c:v>8660</c:v>
                      </c:pt>
                      <c:pt idx="4" formatCode="_(&quot;kr&quot;* #,##0.00_);_(&quot;kr&quot;* \(#,##0.00\);_(&quot;kr&quot;* &quot;-&quot;??_);_(@_)">
                        <c:v>9727</c:v>
                      </c:pt>
                      <c:pt idx="5" formatCode="_(&quot;kr&quot;* #,##0.00_);_(&quot;kr&quot;* \(#,##0.00\);_(&quot;kr&quot;* &quot;-&quot;??_);_(@_)">
                        <c:v>12000</c:v>
                      </c:pt>
                      <c:pt idx="6" formatCode="_(&quot;kr&quot;* #,##0.00_);_(&quot;kr&quot;* \(#,##0.00\);_(&quot;kr&quot;* &quot;-&quot;??_);_(@_)">
                        <c:v>9900</c:v>
                      </c:pt>
                      <c:pt idx="7" formatCode="_(&quot;kr&quot;* #,##0.00_);_(&quot;kr&quot;* \(#,##0.00\);_(&quot;kr&quot;* &quot;-&quot;??_);_(@_)">
                        <c:v>12000</c:v>
                      </c:pt>
                      <c:pt idx="8" formatCode="_(&quot;kr&quot;* #,##0.00_);_(&quot;kr&quot;* \(#,##0.00\);_(&quot;kr&quot;* &quot;-&quot;??_);_(@_)">
                        <c:v>9000</c:v>
                      </c:pt>
                      <c:pt idx="9" formatCode="_(&quot;kr&quot;* #,##0.00_);_(&quot;kr&quot;* \(#,##0.00\);_(&quot;kr&quot;* &quot;-&quot;??_);_(@_)">
                        <c:v>7000</c:v>
                      </c:pt>
                      <c:pt idx="10" formatCode="_(&quot;kr&quot;* #,##0.00_);_(&quot;kr&quot;* \(#,##0.00\);_(&quot;kr&quot;* &quot;-&quot;??_);_(@_)">
                        <c:v>3000</c:v>
                      </c:pt>
                      <c:pt idx="11" formatCode="_(&quot;kr&quot;* #,##0.00_);_(&quot;kr&quot;* \(#,##0.00\);_(&quot;kr&quot;* &quot;-&quot;??_);_(@_)">
                        <c:v>1700</c:v>
                      </c:pt>
                      <c:pt idx="12" formatCode="_(&quot;kr&quot;* #,##0.00_);_(&quot;kr&quot;* \(#,##0.00\);_(&quot;kr&quot;* &quot;-&quot;??_);_(@_)">
                        <c:v>3700</c:v>
                      </c:pt>
                      <c:pt idx="13" formatCode="_(&quot;kr&quot;* #,##0.00_);_(&quot;kr&quot;* \(#,##0.00\);_(&quot;kr&quot;* &quot;-&quot;??_);_(@_)">
                        <c:v>3600</c:v>
                      </c:pt>
                      <c:pt idx="14" formatCode="_(&quot;kr&quot;* #,##0.00_);_(&quot;kr&quot;* \(#,##0.00\);_(&quot;kr&quot;* &quot;-&quot;??_);_(@_)">
                        <c:v>900</c:v>
                      </c:pt>
                      <c:pt idx="15" formatCode="_(&quot;kr&quot;* #,##0.00_);_(&quot;kr&quot;* \(#,##0.00\);_(&quot;kr&quot;* &quot;-&quot;??_);_(@_)">
                        <c:v>3000</c:v>
                      </c:pt>
                      <c:pt idx="16" formatCode="_(&quot;kr&quot;* #,##0.00_);_(&quot;kr&quot;* \(#,##0.00\);_(&quot;kr&quot;* &quot;-&quot;??_);_(@_)">
                        <c:v>27500</c:v>
                      </c:pt>
                      <c:pt idx="17" formatCode="_(&quot;kr&quot;* #,##0.00_);_(&quot;kr&quot;* \(#,##0.00\);_(&quot;kr&quot;* &quot;-&quot;??_);_(@_)">
                        <c:v>18020</c:v>
                      </c:pt>
                      <c:pt idx="18" formatCode="_(&quot;kr&quot;* #,##0.00_);_(&quot;kr&quot;* \(#,##0.00\);_(&quot;kr&quot;* &quot;-&quot;??_);_(@_)">
                        <c:v>15000</c:v>
                      </c:pt>
                      <c:pt idx="19" formatCode="_(&quot;kr&quot;* #,##0.00_);_(&quot;kr&quot;* \(#,##0.00\);_(&quot;kr&quot;* &quot;-&quot;??_);_(@_)">
                        <c:v>18000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E7-4137-94CC-CD450DA8A7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Sparande!$A$4</c15:sqref>
                        </c15:formulaRef>
                      </c:ext>
                    </c:extLst>
                    <c:strCache>
                      <c:ptCount val="1"/>
                      <c:pt idx="0">
                        <c:v>Peter (ISK)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Sparande!$B$4:$U$4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#\ ##0.00&quot; &quot;[$kr-41D];[Red]&quot;-&quot;#\ ##0.00&quot; &quot;[$kr-41D]">
                        <c:v>6580</c:v>
                      </c:pt>
                      <c:pt idx="4" formatCode="_(&quot;kr&quot;* #,##0.00_);_(&quot;kr&quot;* \(#,##0.00\);_(&quot;kr&quot;* &quot;-&quot;??_);_(@_)">
                        <c:v>9757</c:v>
                      </c:pt>
                      <c:pt idx="5" formatCode="_(&quot;kr&quot;* #,##0.00_);_(&quot;kr&quot;* \(#,##0.00\);_(&quot;kr&quot;* &quot;-&quot;??_);_(@_)">
                        <c:v>20050</c:v>
                      </c:pt>
                      <c:pt idx="6" formatCode="_(&quot;kr&quot;* #,##0.00_);_(&quot;kr&quot;* \(#,##0.00\);_(&quot;kr&quot;* &quot;-&quot;??_);_(@_)">
                        <c:v>22200</c:v>
                      </c:pt>
                      <c:pt idx="7" formatCode="_(&quot;kr&quot;* #,##0.00_);_(&quot;kr&quot;* \(#,##0.00\);_(&quot;kr&quot;* &quot;-&quot;??_);_(@_)">
                        <c:v>24800</c:v>
                      </c:pt>
                      <c:pt idx="8" formatCode="_(&quot;kr&quot;* #,##0.00_);_(&quot;kr&quot;* \(#,##0.00\);_(&quot;kr&quot;* &quot;-&quot;??_);_(@_)">
                        <c:v>33500</c:v>
                      </c:pt>
                      <c:pt idx="9" formatCode="_(&quot;kr&quot;* #,##0.00_);_(&quot;kr&quot;* \(#,##0.00\);_(&quot;kr&quot;* &quot;-&quot;??_);_(@_)">
                        <c:v>33500</c:v>
                      </c:pt>
                      <c:pt idx="10" formatCode="_(&quot;kr&quot;* #,##0.00_);_(&quot;kr&quot;* \(#,##0.00\);_(&quot;kr&quot;* &quot;-&quot;??_);_(@_)">
                        <c:v>30800</c:v>
                      </c:pt>
                      <c:pt idx="11" formatCode="_(&quot;kr&quot;* #,##0.00_);_(&quot;kr&quot;* \(#,##0.00\);_(&quot;kr&quot;* &quot;-&quot;??_);_(@_)">
                        <c:v>34500</c:v>
                      </c:pt>
                      <c:pt idx="12" formatCode="_(&quot;kr&quot;* #,##0.00_);_(&quot;kr&quot;* \(#,##0.00\);_(&quot;kr&quot;* &quot;-&quot;??_);_(@_)">
                        <c:v>37500</c:v>
                      </c:pt>
                      <c:pt idx="13" formatCode="_(&quot;kr&quot;* #,##0.00_);_(&quot;kr&quot;* \(#,##0.00\);_(&quot;kr&quot;* &quot;-&quot;??_);_(@_)">
                        <c:v>38000</c:v>
                      </c:pt>
                      <c:pt idx="14" formatCode="_(&quot;kr&quot;* #,##0.00_);_(&quot;kr&quot;* \(#,##0.00\);_(&quot;kr&quot;* &quot;-&quot;??_);_(@_)">
                        <c:v>32100</c:v>
                      </c:pt>
                      <c:pt idx="15" formatCode="_(&quot;kr&quot;* #,##0.00_);_(&quot;kr&quot;* \(#,##0.00\);_(&quot;kr&quot;* &quot;-&quot;??_);_(@_)">
                        <c:v>26565</c:v>
                      </c:pt>
                      <c:pt idx="16" formatCode="_(&quot;kr&quot;* #,##0.00_);_(&quot;kr&quot;* \(#,##0.00\);_(&quot;kr&quot;* &quot;-&quot;??_);_(@_)">
                        <c:v>907</c:v>
                      </c:pt>
                      <c:pt idx="17" formatCode="_(&quot;kr&quot;* #,##0.00_);_(&quot;kr&quot;* \(#,##0.00\);_(&quot;kr&quot;* &quot;-&quot;??_);_(@_)">
                        <c:v>907</c:v>
                      </c:pt>
                      <c:pt idx="18" formatCode="_(&quot;kr&quot;* #,##0.00_);_(&quot;kr&quot;* \(#,##0.00\);_(&quot;kr&quot;* &quot;-&quot;??_);_(@_)">
                        <c:v>907</c:v>
                      </c:pt>
                      <c:pt idx="19" formatCode="_(&quot;kr&quot;* #,##0.00_);_(&quot;kr&quot;* \(#,##0.00\);_(&quot;kr&quot;* &quot;-&quot;??_);_(@_)">
                        <c:v>907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E7-4137-94CC-CD450DA8A7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Sparande!$A$5</c15:sqref>
                        </c15:formulaRef>
                      </c:ext>
                    </c:extLst>
                    <c:strCache>
                      <c:ptCount val="1"/>
                      <c:pt idx="0">
                        <c:v>Sara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Sparande!$B$5:$U$5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20000</c:v>
                      </c:pt>
                      <c:pt idx="1">
                        <c:v>19300</c:v>
                      </c:pt>
                      <c:pt idx="2">
                        <c:v>9500</c:v>
                      </c:pt>
                      <c:pt idx="3" formatCode="#\ ##0.00&quot; &quot;[$kr-41D];[Red]&quot;-&quot;#\ ##0.00&quot; &quot;[$kr-41D]">
                        <c:v>18000</c:v>
                      </c:pt>
                      <c:pt idx="4" formatCode="_(&quot;kr&quot;* #,##0.00_);_(&quot;kr&quot;* \(#,##0.00\);_(&quot;kr&quot;* &quot;-&quot;??_);_(@_)">
                        <c:v>28000</c:v>
                      </c:pt>
                      <c:pt idx="5" formatCode="_(&quot;kr&quot;* #,##0.00_);_(&quot;kr&quot;* \(#,##0.00\);_(&quot;kr&quot;* &quot;-&quot;??_);_(@_)">
                        <c:v>40000</c:v>
                      </c:pt>
                      <c:pt idx="6" formatCode="_(&quot;kr&quot;* #,##0.00_);_(&quot;kr&quot;* \(#,##0.00\);_(&quot;kr&quot;* &quot;-&quot;??_);_(@_)">
                        <c:v>39000</c:v>
                      </c:pt>
                      <c:pt idx="7" formatCode="_(&quot;kr&quot;* #,##0.00_);_(&quot;kr&quot;* \(#,##0.00\);_(&quot;kr&quot;* &quot;-&quot;??_);_(@_)">
                        <c:v>42000</c:v>
                      </c:pt>
                      <c:pt idx="8" formatCode="_(&quot;kr&quot;* #,##0.00_);_(&quot;kr&quot;* \(#,##0.00\);_(&quot;kr&quot;* &quot;-&quot;??_);_(@_)">
                        <c:v>26000</c:v>
                      </c:pt>
                      <c:pt idx="9" formatCode="_(&quot;kr&quot;* #,##0.00_);_(&quot;kr&quot;* \(#,##0.00\);_(&quot;kr&quot;* &quot;-&quot;??_);_(@_)">
                        <c:v>28500</c:v>
                      </c:pt>
                      <c:pt idx="10" formatCode="_(&quot;kr&quot;* #,##0.00_);_(&quot;kr&quot;* \(#,##0.00\);_(&quot;kr&quot;* &quot;-&quot;??_);_(@_)">
                        <c:v>29000</c:v>
                      </c:pt>
                      <c:pt idx="11" formatCode="_(&quot;kr&quot;* #,##0.00_);_(&quot;kr&quot;* \(#,##0.00\);_(&quot;kr&quot;* &quot;-&quot;??_);_(@_)">
                        <c:v>24000</c:v>
                      </c:pt>
                      <c:pt idx="12" formatCode="_(&quot;kr&quot;* #,##0.00_);_(&quot;kr&quot;* \(#,##0.00\);_(&quot;kr&quot;* &quot;-&quot;??_);_(@_)">
                        <c:v>32500</c:v>
                      </c:pt>
                      <c:pt idx="13" formatCode="_(&quot;kr&quot;* #,##0.00_);_(&quot;kr&quot;* \(#,##0.00\);_(&quot;kr&quot;* &quot;-&quot;??_);_(@_)">
                        <c:v>32500</c:v>
                      </c:pt>
                      <c:pt idx="14" formatCode="_(&quot;kr&quot;* #,##0.00_);_(&quot;kr&quot;* \(#,##0.00\);_(&quot;kr&quot;* &quot;-&quot;??_);_(@_)">
                        <c:v>30000</c:v>
                      </c:pt>
                      <c:pt idx="15" formatCode="_(&quot;kr&quot;* #,##0.00_);_(&quot;kr&quot;* \(#,##0.00\);_(&quot;kr&quot;* &quot;-&quot;??_);_(@_)">
                        <c:v>28000</c:v>
                      </c:pt>
                      <c:pt idx="16" formatCode="_(&quot;kr&quot;* #,##0.00_);_(&quot;kr&quot;* \(#,##0.00\);_(&quot;kr&quot;* &quot;-&quot;??_);_(@_)">
                        <c:v>29000</c:v>
                      </c:pt>
                      <c:pt idx="17" formatCode="_(&quot;kr&quot;* #,##0.00_);_(&quot;kr&quot;* \(#,##0.00\);_(&quot;kr&quot;* &quot;-&quot;??_);_(@_)">
                        <c:v>23500</c:v>
                      </c:pt>
                      <c:pt idx="18" formatCode="_(&quot;kr&quot;* #,##0.00_);_(&quot;kr&quot;* \(#,##0.00\);_(&quot;kr&quot;* &quot;-&quot;??_);_(@_)">
                        <c:v>21000</c:v>
                      </c:pt>
                      <c:pt idx="19" formatCode="_(&quot;kr&quot;* #,##0.00_);_(&quot;kr&quot;* \(#,##0.00\);_(&quot;kr&quot;* &quot;-&quot;??_);_(@_)">
                        <c:v>29000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E7-4137-94CC-CD450DA8A7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Sparande!$A$6</c15:sqref>
                        </c15:formulaRef>
                      </c:ext>
                    </c:extLst>
                    <c:strCache>
                      <c:ptCount val="1"/>
                      <c:pt idx="0">
                        <c:v>Bil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Sparande!$B$6:$U$6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2000</c:v>
                      </c:pt>
                      <c:pt idx="1">
                        <c:v>0</c:v>
                      </c:pt>
                      <c:pt idx="2">
                        <c:v>1000</c:v>
                      </c:pt>
                      <c:pt idx="3" formatCode="#\ ##0.00&quot; &quot;[$kr-41D];[Red]&quot;-&quot;#\ ##0.00&quot; &quot;[$kr-41D]">
                        <c:v>2000</c:v>
                      </c:pt>
                      <c:pt idx="4" formatCode="_(&quot;kr&quot;* #,##0.00_);_(&quot;kr&quot;* \(#,##0.00\);_(&quot;kr&quot;* &quot;-&quot;??_);_(@_)">
                        <c:v>3000</c:v>
                      </c:pt>
                      <c:pt idx="5" formatCode="_(&quot;kr&quot;* #,##0.00_);_(&quot;kr&quot;* \(#,##0.00\);_(&quot;kr&quot;* &quot;-&quot;??_);_(@_)">
                        <c:v>7000</c:v>
                      </c:pt>
                      <c:pt idx="6" formatCode="_(&quot;kr&quot;* #,##0.00_);_(&quot;kr&quot;* \(#,##0.00\);_(&quot;kr&quot;* &quot;-&quot;??_);_(@_)">
                        <c:v>8000</c:v>
                      </c:pt>
                      <c:pt idx="7" formatCode="_(&quot;kr&quot;* #,##0.00_);_(&quot;kr&quot;* \(#,##0.00\);_(&quot;kr&quot;* &quot;-&quot;??_);_(@_)">
                        <c:v>7000</c:v>
                      </c:pt>
                      <c:pt idx="8" formatCode="_(&quot;kr&quot;* #,##0.00_);_(&quot;kr&quot;* \(#,##0.00\);_(&quot;kr&quot;* &quot;-&quot;??_);_(@_)">
                        <c:v>9000</c:v>
                      </c:pt>
                      <c:pt idx="9" formatCode="_(&quot;kr&quot;* #,##0.00_);_(&quot;kr&quot;* \(#,##0.00\);_(&quot;kr&quot;* &quot;-&quot;??_);_(@_)">
                        <c:v>9000</c:v>
                      </c:pt>
                      <c:pt idx="10" formatCode="_(&quot;kr&quot;* #,##0.00_);_(&quot;kr&quot;* \(#,##0.00\);_(&quot;kr&quot;* &quot;-&quot;??_);_(@_)">
                        <c:v>10000</c:v>
                      </c:pt>
                      <c:pt idx="11" formatCode="_(&quot;kr&quot;* #,##0.00_);_(&quot;kr&quot;* \(#,##0.00\);_(&quot;kr&quot;* &quot;-&quot;??_);_(@_)">
                        <c:v>0</c:v>
                      </c:pt>
                      <c:pt idx="12" formatCode="_(&quot;kr&quot;* #,##0.00_);_(&quot;kr&quot;* \(#,##0.00\);_(&quot;kr&quot;* &quot;-&quot;??_);_(@_)">
                        <c:v>1000</c:v>
                      </c:pt>
                      <c:pt idx="13" formatCode="_(&quot;kr&quot;* #,##0.00_);_(&quot;kr&quot;* \(#,##0.00\);_(&quot;kr&quot;* &quot;-&quot;??_);_(@_)">
                        <c:v>680</c:v>
                      </c:pt>
                      <c:pt idx="14" formatCode="_(&quot;kr&quot;* #,##0.00_);_(&quot;kr&quot;* \(#,##0.00\);_(&quot;kr&quot;* &quot;-&quot;??_);_(@_)">
                        <c:v>381</c:v>
                      </c:pt>
                      <c:pt idx="15" formatCode="_(&quot;kr&quot;* #,##0.00_);_(&quot;kr&quot;* \(#,##0.00\);_(&quot;kr&quot;* &quot;-&quot;??_);_(@_)">
                        <c:v>381</c:v>
                      </c:pt>
                      <c:pt idx="16" formatCode="_(&quot;kr&quot;* #,##0.00_);_(&quot;kr&quot;* \(#,##0.00\);_(&quot;kr&quot;* &quot;-&quot;??_);_(@_)">
                        <c:v>381</c:v>
                      </c:pt>
                      <c:pt idx="17" formatCode="_(&quot;kr&quot;* #,##0.00_);_(&quot;kr&quot;* \(#,##0.00\);_(&quot;kr&quot;* &quot;-&quot;??_);_(@_)">
                        <c:v>1391</c:v>
                      </c:pt>
                      <c:pt idx="18" formatCode="_(&quot;kr&quot;* #,##0.00_);_(&quot;kr&quot;* \(#,##0.00\);_(&quot;kr&quot;* &quot;-&quot;??_);_(@_)">
                        <c:v>1381</c:v>
                      </c:pt>
                      <c:pt idx="19" formatCode="_(&quot;kr&quot;* #,##0.00_);_(&quot;kr&quot;* \(#,##0.00\);_(&quot;kr&quot;* &quot;-&quot;??_);_(@_)">
                        <c:v>1381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E7-4137-94CC-CD450DA8A7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Sparande!$A$7</c15:sqref>
                        </c15:formulaRef>
                      </c:ext>
                    </c:extLst>
                    <c:strCache>
                      <c:ptCount val="1"/>
                      <c:pt idx="0">
                        <c:v>Familj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Sparande!$B$7:$U$7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4500</c:v>
                      </c:pt>
                      <c:pt idx="1">
                        <c:v>3000</c:v>
                      </c:pt>
                      <c:pt idx="2">
                        <c:v>4000</c:v>
                      </c:pt>
                      <c:pt idx="3" formatCode="#\ ##0.00&quot; &quot;[$kr-41D];[Red]&quot;-&quot;#\ ##0.00&quot; &quot;[$kr-41D]">
                        <c:v>15000</c:v>
                      </c:pt>
                      <c:pt idx="4" formatCode="_(&quot;kr&quot;* #,##0.00_);_(&quot;kr&quot;* \(#,##0.00\);_(&quot;kr&quot;* &quot;-&quot;??_);_(@_)">
                        <c:v>16000</c:v>
                      </c:pt>
                      <c:pt idx="5" formatCode="_(&quot;kr&quot;* #,##0.00_);_(&quot;kr&quot;* \(#,##0.00\);_(&quot;kr&quot;* &quot;-&quot;??_);_(@_)">
                        <c:v>15500</c:v>
                      </c:pt>
                      <c:pt idx="6" formatCode="_(&quot;kr&quot;* #,##0.00_);_(&quot;kr&quot;* \(#,##0.00\);_(&quot;kr&quot;* &quot;-&quot;??_);_(@_)">
                        <c:v>11300</c:v>
                      </c:pt>
                      <c:pt idx="7" formatCode="_(&quot;kr&quot;* #,##0.00_);_(&quot;kr&quot;* \(#,##0.00\);_(&quot;kr&quot;* &quot;-&quot;??_);_(@_)">
                        <c:v>15000</c:v>
                      </c:pt>
                      <c:pt idx="8" formatCode="_(&quot;kr&quot;* #,##0.00_);_(&quot;kr&quot;* \(#,##0.00\);_(&quot;kr&quot;* &quot;-&quot;??_);_(@_)">
                        <c:v>4500</c:v>
                      </c:pt>
                      <c:pt idx="9" formatCode="_(&quot;kr&quot;* #,##0.00_);_(&quot;kr&quot;* \(#,##0.00\);_(&quot;kr&quot;* &quot;-&quot;??_);_(@_)">
                        <c:v>2000</c:v>
                      </c:pt>
                      <c:pt idx="10" formatCode="_(&quot;kr&quot;* #,##0.00_);_(&quot;kr&quot;* \(#,##0.00\);_(&quot;kr&quot;* &quot;-&quot;??_);_(@_)">
                        <c:v>4500</c:v>
                      </c:pt>
                      <c:pt idx="11" formatCode="_(&quot;kr&quot;* #,##0.00_);_(&quot;kr&quot;* \(#,##0.00\);_(&quot;kr&quot;* &quot;-&quot;??_);_(@_)">
                        <c:v>4000</c:v>
                      </c:pt>
                      <c:pt idx="12" formatCode="_(&quot;kr&quot;* #,##0.00_);_(&quot;kr&quot;* \(#,##0.00\);_(&quot;kr&quot;* &quot;-&quot;??_);_(@_)">
                        <c:v>9000</c:v>
                      </c:pt>
                      <c:pt idx="13" formatCode="_(&quot;kr&quot;* #,##0.00_);_(&quot;kr&quot;* \(#,##0.00\);_(&quot;kr&quot;* &quot;-&quot;??_);_(@_)">
                        <c:v>5900</c:v>
                      </c:pt>
                      <c:pt idx="14" formatCode="_(&quot;kr&quot;* #,##0.00_);_(&quot;kr&quot;* \(#,##0.00\);_(&quot;kr&quot;* &quot;-&quot;??_);_(@_)">
                        <c:v>4000</c:v>
                      </c:pt>
                      <c:pt idx="15" formatCode="_(&quot;kr&quot;* #,##0.00_);_(&quot;kr&quot;* \(#,##0.00\);_(&quot;kr&quot;* &quot;-&quot;??_);_(@_)">
                        <c:v>4000</c:v>
                      </c:pt>
                      <c:pt idx="16" formatCode="_(&quot;kr&quot;* #,##0.00_);_(&quot;kr&quot;* \(#,##0.00\);_(&quot;kr&quot;* &quot;-&quot;??_);_(@_)">
                        <c:v>1650</c:v>
                      </c:pt>
                      <c:pt idx="17" formatCode="_(&quot;kr&quot;* #,##0.00_);_(&quot;kr&quot;* \(#,##0.00\);_(&quot;kr&quot;* &quot;-&quot;??_);_(@_)">
                        <c:v>15000</c:v>
                      </c:pt>
                      <c:pt idx="18" formatCode="_(&quot;kr&quot;* #,##0.00_);_(&quot;kr&quot;* \(#,##0.00\);_(&quot;kr&quot;* &quot;-&quot;??_);_(@_)">
                        <c:v>12000</c:v>
                      </c:pt>
                      <c:pt idx="19" formatCode="_(&quot;kr&quot;* #,##0.00_);_(&quot;kr&quot;* \(#,##0.00\);_(&quot;kr&quot;* &quot;-&quot;??_);_(@_)">
                        <c:v>27000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E7-4137-94CC-CD450DA8A7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Sparande!$A$8</c15:sqref>
                        </c15:formulaRef>
                      </c:ext>
                    </c:extLst>
                    <c:strCache>
                      <c:ptCount val="1"/>
                      <c:pt idx="0">
                        <c:v>Alice (ISK)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Sparande!$B$8:$U$8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1952</c:v>
                      </c:pt>
                      <c:pt idx="1">
                        <c:v>1952</c:v>
                      </c:pt>
                      <c:pt idx="2">
                        <c:v>2084</c:v>
                      </c:pt>
                      <c:pt idx="3" formatCode="#\ ##0.00&quot; &quot;[$kr-41D];[Red]&quot;-&quot;#\ ##0.00&quot; &quot;[$kr-41D]">
                        <c:v>2086</c:v>
                      </c:pt>
                      <c:pt idx="4" formatCode="_(&quot;kr&quot;* #,##0.00_);_(&quot;kr&quot;* \(#,##0.00\);_(&quot;kr&quot;* &quot;-&quot;??_);_(@_)">
                        <c:v>2167</c:v>
                      </c:pt>
                      <c:pt idx="5" formatCode="_(&quot;kr&quot;* #,##0.00_);_(&quot;kr&quot;* \(#,##0.00\);_(&quot;kr&quot;* &quot;-&quot;??_);_(@_)">
                        <c:v>2243</c:v>
                      </c:pt>
                      <c:pt idx="6" formatCode="_(&quot;kr&quot;* #,##0.00_);_(&quot;kr&quot;* \(#,##0.00\);_(&quot;kr&quot;* &quot;-&quot;??_);_(@_)">
                        <c:v>2243</c:v>
                      </c:pt>
                      <c:pt idx="7" formatCode="_(&quot;kr&quot;* #,##0.00_);_(&quot;kr&quot;* \(#,##0.00\);_(&quot;kr&quot;* &quot;-&quot;??_);_(@_)">
                        <c:v>2243</c:v>
                      </c:pt>
                      <c:pt idx="8" formatCode="_(&quot;kr&quot;* #,##0.00_);_(&quot;kr&quot;* \(#,##0.00\);_(&quot;kr&quot;* &quot;-&quot;??_);_(@_)">
                        <c:v>2243</c:v>
                      </c:pt>
                      <c:pt idx="9" formatCode="_(&quot;kr&quot;* #,##0.00_);_(&quot;kr&quot;* \(#,##0.00\);_(&quot;kr&quot;* &quot;-&quot;??_);_(@_)">
                        <c:v>2243</c:v>
                      </c:pt>
                      <c:pt idx="10" formatCode="_(&quot;kr&quot;* #,##0.00_);_(&quot;kr&quot;* \(#,##0.00\);_(&quot;kr&quot;* &quot;-&quot;??_);_(@_)">
                        <c:v>2243</c:v>
                      </c:pt>
                      <c:pt idx="11" formatCode="_(&quot;kr&quot;* #,##0.00_);_(&quot;kr&quot;* \(#,##0.00\);_(&quot;kr&quot;* &quot;-&quot;??_);_(@_)">
                        <c:v>2243</c:v>
                      </c:pt>
                      <c:pt idx="12" formatCode="_(&quot;kr&quot;* #,##0.00_);_(&quot;kr&quot;* \(#,##0.00\);_(&quot;kr&quot;* &quot;-&quot;??_);_(@_)">
                        <c:v>2561</c:v>
                      </c:pt>
                      <c:pt idx="13" formatCode="_(&quot;kr&quot;* #,##0.00_);_(&quot;kr&quot;* \(#,##0.00\);_(&quot;kr&quot;* &quot;-&quot;??_);_(@_)">
                        <c:v>2539</c:v>
                      </c:pt>
                      <c:pt idx="14" formatCode="_(&quot;kr&quot;* #,##0.00_);_(&quot;kr&quot;* \(#,##0.00\);_(&quot;kr&quot;* &quot;-&quot;??_);_(@_)">
                        <c:v>2539</c:v>
                      </c:pt>
                      <c:pt idx="15" formatCode="_(&quot;kr&quot;* #,##0.00_);_(&quot;kr&quot;* \(#,##0.00\);_(&quot;kr&quot;* &quot;-&quot;??_);_(@_)">
                        <c:v>2539</c:v>
                      </c:pt>
                      <c:pt idx="16" formatCode="_(&quot;kr&quot;* #,##0.00_);_(&quot;kr&quot;* \(#,##0.00\);_(&quot;kr&quot;* &quot;-&quot;??_);_(@_)">
                        <c:v>2388</c:v>
                      </c:pt>
                      <c:pt idx="17" formatCode="_(&quot;kr&quot;* #,##0.00_);_(&quot;kr&quot;* \(#,##0.00\);_(&quot;kr&quot;* &quot;-&quot;??_);_(@_)">
                        <c:v>2539</c:v>
                      </c:pt>
                      <c:pt idx="18" formatCode="_(&quot;kr&quot;* #,##0.00_);_(&quot;kr&quot;* \(#,##0.00\);_(&quot;kr&quot;* &quot;-&quot;??_);_(@_)">
                        <c:v>2539</c:v>
                      </c:pt>
                      <c:pt idx="19" formatCode="_(&quot;kr&quot;* #,##0.00_);_(&quot;kr&quot;* \(#,##0.00\);_(&quot;kr&quot;* &quot;-&quot;??_);_(@_)">
                        <c:v>2539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E7-4137-94CC-CD450DA8A77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Sparande!$A$9</c15:sqref>
                        </c15:formulaRef>
                      </c:ext>
                    </c:extLst>
                    <c:strCache>
                      <c:ptCount val="1"/>
                      <c:pt idx="0">
                        <c:v>Ellen (ISK)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Sparande!$B$1:$U$1</c15:sqref>
                        </c15:formulaRef>
                      </c:ext>
                    </c:extLst>
                    <c:numCache>
                      <c:formatCode>m/d/yyyy</c:formatCode>
                      <c:ptCount val="20"/>
                      <c:pt idx="2">
                        <c:v>44221</c:v>
                      </c:pt>
                      <c:pt idx="3">
                        <c:v>44252</c:v>
                      </c:pt>
                      <c:pt idx="4">
                        <c:v>44280</c:v>
                      </c:pt>
                      <c:pt idx="5">
                        <c:v>44311</c:v>
                      </c:pt>
                      <c:pt idx="6">
                        <c:v>44341</c:v>
                      </c:pt>
                      <c:pt idx="7">
                        <c:v>44372</c:v>
                      </c:pt>
                      <c:pt idx="8">
                        <c:v>44402</c:v>
                      </c:pt>
                      <c:pt idx="9">
                        <c:v>44433</c:v>
                      </c:pt>
                      <c:pt idx="10">
                        <c:v>44464</c:v>
                      </c:pt>
                      <c:pt idx="11">
                        <c:v>44494</c:v>
                      </c:pt>
                      <c:pt idx="12">
                        <c:v>44525</c:v>
                      </c:pt>
                      <c:pt idx="13">
                        <c:v>44555</c:v>
                      </c:pt>
                      <c:pt idx="14">
                        <c:v>44586</c:v>
                      </c:pt>
                      <c:pt idx="15">
                        <c:v>44617</c:v>
                      </c:pt>
                      <c:pt idx="16">
                        <c:v>44645</c:v>
                      </c:pt>
                      <c:pt idx="17">
                        <c:v>44676</c:v>
                      </c:pt>
                      <c:pt idx="18">
                        <c:v>44706</c:v>
                      </c:pt>
                      <c:pt idx="19">
                        <c:v>44737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Sparande!$B$9:$U$9</c15:sqref>
                        </c15:formulaRef>
                      </c:ext>
                    </c:extLst>
                    <c:numCache>
                      <c:formatCode>#\ ##0" "[$kr-41D];[Red]"-"#\ ##0" "[$kr-41D]</c:formatCode>
                      <c:ptCount val="20"/>
                      <c:pt idx="0" formatCode="&quot; &quot;#\ ##0&quot; kr &quot;;&quot;-&quot;#\ ##0&quot; kr &quot;;&quot; -&quot;#&quot; kr &quot;;@&quot; &quot;">
                        <c:v>840</c:v>
                      </c:pt>
                      <c:pt idx="1">
                        <c:v>840</c:v>
                      </c:pt>
                      <c:pt idx="2">
                        <c:v>892</c:v>
                      </c:pt>
                      <c:pt idx="3" formatCode="#\ ##0.00&quot; &quot;[$kr-41D];[Red]&quot;-&quot;#\ ##0.00&quot; &quot;[$kr-41D]">
                        <c:v>891</c:v>
                      </c:pt>
                      <c:pt idx="4" formatCode="_(&quot;kr&quot;* #,##0.00_);_(&quot;kr&quot;* \(#,##0.00\);_(&quot;kr&quot;* &quot;-&quot;??_);_(@_)">
                        <c:v>930</c:v>
                      </c:pt>
                      <c:pt idx="5" formatCode="_(&quot;kr&quot;* #,##0.00_);_(&quot;kr&quot;* \(#,##0.00\);_(&quot;kr&quot;* &quot;-&quot;??_);_(@_)">
                        <c:v>959</c:v>
                      </c:pt>
                      <c:pt idx="6" formatCode="_(&quot;kr&quot;* #,##0.00_);_(&quot;kr&quot;* \(#,##0.00\);_(&quot;kr&quot;* &quot;-&quot;??_);_(@_)">
                        <c:v>959</c:v>
                      </c:pt>
                      <c:pt idx="7" formatCode="_(&quot;kr&quot;* #,##0.00_);_(&quot;kr&quot;* \(#,##0.00\);_(&quot;kr&quot;* &quot;-&quot;??_);_(@_)">
                        <c:v>959</c:v>
                      </c:pt>
                      <c:pt idx="8" formatCode="_(&quot;kr&quot;* #,##0.00_);_(&quot;kr&quot;* \(#,##0.00\);_(&quot;kr&quot;* &quot;-&quot;??_);_(@_)">
                        <c:v>959</c:v>
                      </c:pt>
                      <c:pt idx="9" formatCode="_(&quot;kr&quot;* #,##0.00_);_(&quot;kr&quot;* \(#,##0.00\);_(&quot;kr&quot;* &quot;-&quot;??_);_(@_)">
                        <c:v>959</c:v>
                      </c:pt>
                      <c:pt idx="10" formatCode="_(&quot;kr&quot;* #,##0.00_);_(&quot;kr&quot;* \(#,##0.00\);_(&quot;kr&quot;* &quot;-&quot;??_);_(@_)">
                        <c:v>959</c:v>
                      </c:pt>
                      <c:pt idx="11" formatCode="_(&quot;kr&quot;* #,##0.00_);_(&quot;kr&quot;* \(#,##0.00\);_(&quot;kr&quot;* &quot;-&quot;??_);_(@_)">
                        <c:v>959</c:v>
                      </c:pt>
                      <c:pt idx="12" formatCode="_(&quot;kr&quot;* #,##0.00_);_(&quot;kr&quot;* \(#,##0.00\);_(&quot;kr&quot;* &quot;-&quot;??_);_(@_)">
                        <c:v>1106</c:v>
                      </c:pt>
                      <c:pt idx="13" formatCode="_(&quot;kr&quot;* #,##0.00_);_(&quot;kr&quot;* \(#,##0.00\);_(&quot;kr&quot;* &quot;-&quot;??_);_(@_)">
                        <c:v>1105</c:v>
                      </c:pt>
                      <c:pt idx="14" formatCode="_(&quot;kr&quot;* #,##0.00_);_(&quot;kr&quot;* \(#,##0.00\);_(&quot;kr&quot;* &quot;-&quot;??_);_(@_)">
                        <c:v>1105</c:v>
                      </c:pt>
                      <c:pt idx="15" formatCode="_(&quot;kr&quot;* #,##0.00_);_(&quot;kr&quot;* \(#,##0.00\);_(&quot;kr&quot;* &quot;-&quot;??_);_(@_)">
                        <c:v>1105</c:v>
                      </c:pt>
                      <c:pt idx="16" formatCode="_(&quot;kr&quot;* #,##0.00_);_(&quot;kr&quot;* \(#,##0.00\);_(&quot;kr&quot;* &quot;-&quot;??_);_(@_)">
                        <c:v>1044</c:v>
                      </c:pt>
                      <c:pt idx="17" formatCode="_(&quot;kr&quot;* #,##0.00_);_(&quot;kr&quot;* \(#,##0.00\);_(&quot;kr&quot;* &quot;-&quot;??_);_(@_)">
                        <c:v>1105</c:v>
                      </c:pt>
                      <c:pt idx="18" formatCode="_(&quot;kr&quot;* #,##0.00_);_(&quot;kr&quot;* \(#,##0.00\);_(&quot;kr&quot;* &quot;-&quot;??_);_(@_)">
                        <c:v>1105</c:v>
                      </c:pt>
                      <c:pt idx="19" formatCode="_(&quot;kr&quot;* #,##0.00_);_(&quot;kr&quot;* \(#,##0.00\);_(&quot;kr&quot;* &quot;-&quot;??_);_(@_)">
                        <c:v>1105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E7-4137-94CC-CD450DA8A77D}"/>
                  </c:ext>
                </c:extLst>
              </c15:ser>
            </c15:filteredLineSeries>
          </c:ext>
        </c:extLst>
      </c:lineChart>
      <c:dateAx>
        <c:axId val="7102148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0213520"/>
        <c:crosses val="autoZero"/>
        <c:auto val="1"/>
        <c:lblOffset val="100"/>
        <c:baseTimeUnit val="months"/>
      </c:dateAx>
      <c:valAx>
        <c:axId val="7102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kr&quot;* #,##0_);_(&quot;kr&quot;* \(#,##0\);_(&quot;kr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02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4727580927384076"/>
          <c:y val="0.16245370370370371"/>
          <c:w val="0.82216863517060368"/>
          <c:h val="0.61498432487605714"/>
        </c:manualLayout>
      </c:layout>
      <c:lineChart>
        <c:grouping val="standard"/>
        <c:varyColors val="0"/>
        <c:ser>
          <c:idx val="1"/>
          <c:order val="0"/>
          <c:tx>
            <c:strRef>
              <c:f>Sparande!$A$3:$B$3</c:f>
              <c:strCache>
                <c:ptCount val="2"/>
                <c:pt idx="0">
                  <c:v>Peter</c:v>
                </c:pt>
                <c:pt idx="1">
                  <c:v> 8 079 kr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Sparande!$C$3:$V$3</c:f>
              <c:numCache>
                <c:formatCode>#\ ##0" "[$kr-41D];[Red]"-"#\ ##0" "[$kr-41D]</c:formatCode>
                <c:ptCount val="20"/>
                <c:pt idx="0">
                  <c:v>7250</c:v>
                </c:pt>
                <c:pt idx="1">
                  <c:v>9725</c:v>
                </c:pt>
                <c:pt idx="2" formatCode="#\ ##0.00&quot; &quot;[$kr-41D];[Red]&quot;-&quot;#\ ##0.00&quot; &quot;[$kr-41D]">
                  <c:v>8660</c:v>
                </c:pt>
                <c:pt idx="3" formatCode="_(&quot;kr&quot;* #,##0.00_);_(&quot;kr&quot;* \(#,##0.00\);_(&quot;kr&quot;* &quot;-&quot;??_);_(@_)">
                  <c:v>9727</c:v>
                </c:pt>
                <c:pt idx="4" formatCode="_(&quot;kr&quot;* #,##0.00_);_(&quot;kr&quot;* \(#,##0.00\);_(&quot;kr&quot;* &quot;-&quot;??_);_(@_)">
                  <c:v>12000</c:v>
                </c:pt>
                <c:pt idx="5" formatCode="_(&quot;kr&quot;* #,##0.00_);_(&quot;kr&quot;* \(#,##0.00\);_(&quot;kr&quot;* &quot;-&quot;??_);_(@_)">
                  <c:v>9900</c:v>
                </c:pt>
                <c:pt idx="6" formatCode="_(&quot;kr&quot;* #,##0.00_);_(&quot;kr&quot;* \(#,##0.00\);_(&quot;kr&quot;* &quot;-&quot;??_);_(@_)">
                  <c:v>12000</c:v>
                </c:pt>
                <c:pt idx="7" formatCode="_(&quot;kr&quot;* #,##0.00_);_(&quot;kr&quot;* \(#,##0.00\);_(&quot;kr&quot;* &quot;-&quot;??_);_(@_)">
                  <c:v>9000</c:v>
                </c:pt>
                <c:pt idx="8" formatCode="_(&quot;kr&quot;* #,##0.00_);_(&quot;kr&quot;* \(#,##0.00\);_(&quot;kr&quot;* &quot;-&quot;??_);_(@_)">
                  <c:v>7000</c:v>
                </c:pt>
                <c:pt idx="9" formatCode="_(&quot;kr&quot;* #,##0.00_);_(&quot;kr&quot;* \(#,##0.00\);_(&quot;kr&quot;* &quot;-&quot;??_);_(@_)">
                  <c:v>3000</c:v>
                </c:pt>
                <c:pt idx="10" formatCode="_(&quot;kr&quot;* #,##0.00_);_(&quot;kr&quot;* \(#,##0.00\);_(&quot;kr&quot;* &quot;-&quot;??_);_(@_)">
                  <c:v>1700</c:v>
                </c:pt>
                <c:pt idx="11" formatCode="_(&quot;kr&quot;* #,##0.00_);_(&quot;kr&quot;* \(#,##0.00\);_(&quot;kr&quot;* &quot;-&quot;??_);_(@_)">
                  <c:v>3700</c:v>
                </c:pt>
                <c:pt idx="12" formatCode="_(&quot;kr&quot;* #,##0.00_);_(&quot;kr&quot;* \(#,##0.00\);_(&quot;kr&quot;* &quot;-&quot;??_);_(@_)">
                  <c:v>3600</c:v>
                </c:pt>
                <c:pt idx="13" formatCode="_(&quot;kr&quot;* #,##0.00_);_(&quot;kr&quot;* \(#,##0.00\);_(&quot;kr&quot;* &quot;-&quot;??_);_(@_)">
                  <c:v>900</c:v>
                </c:pt>
                <c:pt idx="14" formatCode="_(&quot;kr&quot;* #,##0.00_);_(&quot;kr&quot;* \(#,##0.00\);_(&quot;kr&quot;* &quot;-&quot;??_);_(@_)">
                  <c:v>3000</c:v>
                </c:pt>
                <c:pt idx="15" formatCode="_(&quot;kr&quot;* #,##0.00_);_(&quot;kr&quot;* \(#,##0.00\);_(&quot;kr&quot;* &quot;-&quot;??_);_(@_)">
                  <c:v>27500</c:v>
                </c:pt>
                <c:pt idx="16" formatCode="_(&quot;kr&quot;* #,##0.00_);_(&quot;kr&quot;* \(#,##0.00\);_(&quot;kr&quot;* &quot;-&quot;??_);_(@_)">
                  <c:v>18020</c:v>
                </c:pt>
                <c:pt idx="17" formatCode="_(&quot;kr&quot;* #,##0.00_);_(&quot;kr&quot;* \(#,##0.00\);_(&quot;kr&quot;* &quot;-&quot;??_);_(@_)">
                  <c:v>15000</c:v>
                </c:pt>
                <c:pt idx="18" formatCode="_(&quot;kr&quot;* #,##0.00_);_(&quot;kr&quot;* \(#,##0.00\);_(&quot;kr&quot;* &quot;-&quot;??_);_(@_)">
                  <c:v>18000</c:v>
                </c:pt>
                <c:pt idx="19" formatCode="_(&quot;kr&quot;* #,##0.00_);_(&quot;kr&quot;* \(#,##0.00\);_(&quot;kr&quot;* &quot;-&quot;??_);_(@_)">
                  <c:v>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B-449E-AE1B-0023016974E5}"/>
            </c:ext>
          </c:extLst>
        </c:ser>
        <c:ser>
          <c:idx val="2"/>
          <c:order val="1"/>
          <c:tx>
            <c:strRef>
              <c:f>Sparande!$A$4:$B$4</c:f>
              <c:strCache>
                <c:ptCount val="2"/>
                <c:pt idx="0">
                  <c:v>Peter (ISK)</c:v>
                </c:pt>
                <c:pt idx="1">
                  <c:v> - kr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Sparande!$C$4:$V$4</c:f>
              <c:numCache>
                <c:formatCode>#\ ##0" "[$kr-41D];[Red]"-"#\ ##0" "[$kr-41D]</c:formatCode>
                <c:ptCount val="20"/>
                <c:pt idx="0">
                  <c:v>0</c:v>
                </c:pt>
                <c:pt idx="1">
                  <c:v>0</c:v>
                </c:pt>
                <c:pt idx="2" formatCode="#\ ##0.00&quot; &quot;[$kr-41D];[Red]&quot;-&quot;#\ ##0.00&quot; &quot;[$kr-41D]">
                  <c:v>6580</c:v>
                </c:pt>
                <c:pt idx="3" formatCode="_(&quot;kr&quot;* #,##0.00_);_(&quot;kr&quot;* \(#,##0.00\);_(&quot;kr&quot;* &quot;-&quot;??_);_(@_)">
                  <c:v>9757</c:v>
                </c:pt>
                <c:pt idx="4" formatCode="_(&quot;kr&quot;* #,##0.00_);_(&quot;kr&quot;* \(#,##0.00\);_(&quot;kr&quot;* &quot;-&quot;??_);_(@_)">
                  <c:v>20050</c:v>
                </c:pt>
                <c:pt idx="5" formatCode="_(&quot;kr&quot;* #,##0.00_);_(&quot;kr&quot;* \(#,##0.00\);_(&quot;kr&quot;* &quot;-&quot;??_);_(@_)">
                  <c:v>22200</c:v>
                </c:pt>
                <c:pt idx="6" formatCode="_(&quot;kr&quot;* #,##0.00_);_(&quot;kr&quot;* \(#,##0.00\);_(&quot;kr&quot;* &quot;-&quot;??_);_(@_)">
                  <c:v>24800</c:v>
                </c:pt>
                <c:pt idx="7" formatCode="_(&quot;kr&quot;* #,##0.00_);_(&quot;kr&quot;* \(#,##0.00\);_(&quot;kr&quot;* &quot;-&quot;??_);_(@_)">
                  <c:v>33500</c:v>
                </c:pt>
                <c:pt idx="8" formatCode="_(&quot;kr&quot;* #,##0.00_);_(&quot;kr&quot;* \(#,##0.00\);_(&quot;kr&quot;* &quot;-&quot;??_);_(@_)">
                  <c:v>33500</c:v>
                </c:pt>
                <c:pt idx="9" formatCode="_(&quot;kr&quot;* #,##0.00_);_(&quot;kr&quot;* \(#,##0.00\);_(&quot;kr&quot;* &quot;-&quot;??_);_(@_)">
                  <c:v>30800</c:v>
                </c:pt>
                <c:pt idx="10" formatCode="_(&quot;kr&quot;* #,##0.00_);_(&quot;kr&quot;* \(#,##0.00\);_(&quot;kr&quot;* &quot;-&quot;??_);_(@_)">
                  <c:v>34500</c:v>
                </c:pt>
                <c:pt idx="11" formatCode="_(&quot;kr&quot;* #,##0.00_);_(&quot;kr&quot;* \(#,##0.00\);_(&quot;kr&quot;* &quot;-&quot;??_);_(@_)">
                  <c:v>37500</c:v>
                </c:pt>
                <c:pt idx="12" formatCode="_(&quot;kr&quot;* #,##0.00_);_(&quot;kr&quot;* \(#,##0.00\);_(&quot;kr&quot;* &quot;-&quot;??_);_(@_)">
                  <c:v>38000</c:v>
                </c:pt>
                <c:pt idx="13" formatCode="_(&quot;kr&quot;* #,##0.00_);_(&quot;kr&quot;* \(#,##0.00\);_(&quot;kr&quot;* &quot;-&quot;??_);_(@_)">
                  <c:v>32100</c:v>
                </c:pt>
                <c:pt idx="14" formatCode="_(&quot;kr&quot;* #,##0.00_);_(&quot;kr&quot;* \(#,##0.00\);_(&quot;kr&quot;* &quot;-&quot;??_);_(@_)">
                  <c:v>26565</c:v>
                </c:pt>
                <c:pt idx="15" formatCode="_(&quot;kr&quot;* #,##0.00_);_(&quot;kr&quot;* \(#,##0.00\);_(&quot;kr&quot;* &quot;-&quot;??_);_(@_)">
                  <c:v>907</c:v>
                </c:pt>
                <c:pt idx="16" formatCode="_(&quot;kr&quot;* #,##0.00_);_(&quot;kr&quot;* \(#,##0.00\);_(&quot;kr&quot;* &quot;-&quot;??_);_(@_)">
                  <c:v>907</c:v>
                </c:pt>
                <c:pt idx="17" formatCode="_(&quot;kr&quot;* #,##0.00_);_(&quot;kr&quot;* \(#,##0.00\);_(&quot;kr&quot;* &quot;-&quot;??_);_(@_)">
                  <c:v>907</c:v>
                </c:pt>
                <c:pt idx="18" formatCode="_(&quot;kr&quot;* #,##0.00_);_(&quot;kr&quot;* \(#,##0.00\);_(&quot;kr&quot;* &quot;-&quot;??_);_(@_)">
                  <c:v>907</c:v>
                </c:pt>
                <c:pt idx="19" formatCode="_(&quot;kr&quot;* #,##0.00_);_(&quot;kr&quot;* \(#,##0.00\);_(&quot;kr&quot;* &quot;-&quot;??_);_(@_)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B-449E-AE1B-00230169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31960"/>
        <c:axId val="744333880"/>
      </c:lineChart>
      <c:catAx>
        <c:axId val="74433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4333880"/>
        <c:crosses val="autoZero"/>
        <c:auto val="1"/>
        <c:lblAlgn val="ctr"/>
        <c:lblOffset val="100"/>
        <c:noMultiLvlLbl val="0"/>
      </c:catAx>
      <c:valAx>
        <c:axId val="7443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&quot; &quot;[$kr-41D];[Red]&quot;-&quot;#\ ##0&quot; &quot;[$kr-41D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443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44498031496063"/>
          <c:y val="0.13930555555555557"/>
          <c:w val="0.8221686351706036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Sparande!$A$5</c:f>
              <c:strCache>
                <c:ptCount val="1"/>
                <c:pt idx="0">
                  <c:v>Sara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Sparande!$B$5:$V$5</c:f>
              <c:numCache>
                <c:formatCode>#\ ##0" "[$kr-41D];[Red]"-"#\ ##0" "[$kr-41D]</c:formatCode>
                <c:ptCount val="21"/>
                <c:pt idx="0" formatCode="&quot; &quot;#\ ##0&quot; kr &quot;;&quot;-&quot;#\ ##0&quot; kr &quot;;&quot; -&quot;#&quot; kr &quot;;@&quot; &quot;">
                  <c:v>20000</c:v>
                </c:pt>
                <c:pt idx="1">
                  <c:v>19300</c:v>
                </c:pt>
                <c:pt idx="2">
                  <c:v>9500</c:v>
                </c:pt>
                <c:pt idx="3" formatCode="#\ ##0.00&quot; &quot;[$kr-41D];[Red]&quot;-&quot;#\ ##0.00&quot; &quot;[$kr-41D]">
                  <c:v>18000</c:v>
                </c:pt>
                <c:pt idx="4" formatCode="_(&quot;kr&quot;* #,##0.00_);_(&quot;kr&quot;* \(#,##0.00\);_(&quot;kr&quot;* &quot;-&quot;??_);_(@_)">
                  <c:v>28000</c:v>
                </c:pt>
                <c:pt idx="5" formatCode="_(&quot;kr&quot;* #,##0.00_);_(&quot;kr&quot;* \(#,##0.00\);_(&quot;kr&quot;* &quot;-&quot;??_);_(@_)">
                  <c:v>40000</c:v>
                </c:pt>
                <c:pt idx="6" formatCode="_(&quot;kr&quot;* #,##0.00_);_(&quot;kr&quot;* \(#,##0.00\);_(&quot;kr&quot;* &quot;-&quot;??_);_(@_)">
                  <c:v>39000</c:v>
                </c:pt>
                <c:pt idx="7" formatCode="_(&quot;kr&quot;* #,##0.00_);_(&quot;kr&quot;* \(#,##0.00\);_(&quot;kr&quot;* &quot;-&quot;??_);_(@_)">
                  <c:v>42000</c:v>
                </c:pt>
                <c:pt idx="8" formatCode="_(&quot;kr&quot;* #,##0.00_);_(&quot;kr&quot;* \(#,##0.00\);_(&quot;kr&quot;* &quot;-&quot;??_);_(@_)">
                  <c:v>26000</c:v>
                </c:pt>
                <c:pt idx="9" formatCode="_(&quot;kr&quot;* #,##0.00_);_(&quot;kr&quot;* \(#,##0.00\);_(&quot;kr&quot;* &quot;-&quot;??_);_(@_)">
                  <c:v>28500</c:v>
                </c:pt>
                <c:pt idx="10" formatCode="_(&quot;kr&quot;* #,##0.00_);_(&quot;kr&quot;* \(#,##0.00\);_(&quot;kr&quot;* &quot;-&quot;??_);_(@_)">
                  <c:v>29000</c:v>
                </c:pt>
                <c:pt idx="11" formatCode="_(&quot;kr&quot;* #,##0.00_);_(&quot;kr&quot;* \(#,##0.00\);_(&quot;kr&quot;* &quot;-&quot;??_);_(@_)">
                  <c:v>24000</c:v>
                </c:pt>
                <c:pt idx="12" formatCode="_(&quot;kr&quot;* #,##0.00_);_(&quot;kr&quot;* \(#,##0.00\);_(&quot;kr&quot;* &quot;-&quot;??_);_(@_)">
                  <c:v>32500</c:v>
                </c:pt>
                <c:pt idx="13" formatCode="_(&quot;kr&quot;* #,##0.00_);_(&quot;kr&quot;* \(#,##0.00\);_(&quot;kr&quot;* &quot;-&quot;??_);_(@_)">
                  <c:v>32500</c:v>
                </c:pt>
                <c:pt idx="14" formatCode="_(&quot;kr&quot;* #,##0.00_);_(&quot;kr&quot;* \(#,##0.00\);_(&quot;kr&quot;* &quot;-&quot;??_);_(@_)">
                  <c:v>30000</c:v>
                </c:pt>
                <c:pt idx="15" formatCode="_(&quot;kr&quot;* #,##0.00_);_(&quot;kr&quot;* \(#,##0.00\);_(&quot;kr&quot;* &quot;-&quot;??_);_(@_)">
                  <c:v>28000</c:v>
                </c:pt>
                <c:pt idx="16" formatCode="_(&quot;kr&quot;* #,##0.00_);_(&quot;kr&quot;* \(#,##0.00\);_(&quot;kr&quot;* &quot;-&quot;??_);_(@_)">
                  <c:v>29000</c:v>
                </c:pt>
                <c:pt idx="17" formatCode="_(&quot;kr&quot;* #,##0.00_);_(&quot;kr&quot;* \(#,##0.00\);_(&quot;kr&quot;* &quot;-&quot;??_);_(@_)">
                  <c:v>23500</c:v>
                </c:pt>
                <c:pt idx="18" formatCode="_(&quot;kr&quot;* #,##0.00_);_(&quot;kr&quot;* \(#,##0.00\);_(&quot;kr&quot;* &quot;-&quot;??_);_(@_)">
                  <c:v>21000</c:v>
                </c:pt>
                <c:pt idx="19" formatCode="_(&quot;kr&quot;* #,##0.00_);_(&quot;kr&quot;* \(#,##0.00\);_(&quot;kr&quot;* &quot;-&quot;??_);_(@_)">
                  <c:v>29000</c:v>
                </c:pt>
                <c:pt idx="20" formatCode="_(&quot;kr&quot;* #,##0.00_);_(&quot;kr&quot;* \(#,##0.00\);_(&quot;kr&quot;* &quot;-&quot;??_);_(@_)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9-4261-8B3E-CBC69236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971960"/>
        <c:axId val="762967480"/>
      </c:lineChart>
      <c:catAx>
        <c:axId val="76297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2967480"/>
        <c:crosses val="autoZero"/>
        <c:auto val="1"/>
        <c:lblAlgn val="ctr"/>
        <c:lblOffset val="100"/>
        <c:noMultiLvlLbl val="0"/>
      </c:catAx>
      <c:valAx>
        <c:axId val="7629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 &quot;#\ ##0&quot; kr &quot;;&quot;-&quot;#\ ##0&quot; kr &quot;;&quot; -&quot;#&quot; kr &quot;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297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c:style val="2"/>
  <c:chart>
    <c:title>
      <c:tx>
        <c:rich>
          <a:bodyPr/>
          <a:lstStyle/>
          <a:p>
            <a:pPr>
              <a:defRPr sz="1600" b="0"/>
            </a:pPr>
            <a:r>
              <a:rPr lang="en-US"/>
              <a:t>Peters Sparande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0573712879986"/>
          <c:y val="8.3919158105157474E-2"/>
          <c:w val="0.82451147279329939"/>
          <c:h val="0.79495427640777661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dLbls>
            <c:numFmt formatCode="#,##0&quot; &quot;[$kr-41D];&quot;-&quot;#,##0&quot; &quot;[$kr-41D]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cat>
            <c:numRef>
              <c:f>'Grafik-data'!$A$3:$A$22</c:f>
              <c:numCache>
                <c:formatCode>m/d/yyyy</c:formatCode>
                <c:ptCount val="20"/>
                <c:pt idx="0">
                  <c:v>44160</c:v>
                </c:pt>
                <c:pt idx="1">
                  <c:v>44190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'Grafik-data'!$B$3:$B$22</c:f>
              <c:numCache>
                <c:formatCode>#\ ##0.00" "[$kr-41D];[Red]"-"#\ ##0.00" "[$kr-41D]</c:formatCode>
                <c:ptCount val="20"/>
                <c:pt idx="0">
                  <c:v>5579</c:v>
                </c:pt>
                <c:pt idx="1">
                  <c:v>7150</c:v>
                </c:pt>
                <c:pt idx="2">
                  <c:v>6500</c:v>
                </c:pt>
                <c:pt idx="3">
                  <c:v>9725</c:v>
                </c:pt>
                <c:pt idx="4">
                  <c:v>8000</c:v>
                </c:pt>
                <c:pt idx="5">
                  <c:v>7000</c:v>
                </c:pt>
                <c:pt idx="6">
                  <c:v>8660</c:v>
                </c:pt>
                <c:pt idx="7">
                  <c:v>9272</c:v>
                </c:pt>
                <c:pt idx="8">
                  <c:v>12000</c:v>
                </c:pt>
                <c:pt idx="9">
                  <c:v>9900</c:v>
                </c:pt>
                <c:pt idx="10">
                  <c:v>7000</c:v>
                </c:pt>
                <c:pt idx="11">
                  <c:v>9000</c:v>
                </c:pt>
                <c:pt idx="12">
                  <c:v>7000</c:v>
                </c:pt>
                <c:pt idx="13">
                  <c:v>7000</c:v>
                </c:pt>
                <c:pt idx="14">
                  <c:v>1700</c:v>
                </c:pt>
                <c:pt idx="15">
                  <c:v>3700</c:v>
                </c:pt>
                <c:pt idx="16">
                  <c:v>3600</c:v>
                </c:pt>
                <c:pt idx="17">
                  <c:v>900</c:v>
                </c:pt>
                <c:pt idx="18">
                  <c:v>3000</c:v>
                </c:pt>
                <c:pt idx="19">
                  <c:v>27500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0-4999-A37F-9711B0BF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365816"/>
        <c:axId val="572364856"/>
      </c:lineChart>
      <c:valAx>
        <c:axId val="572364856"/>
        <c:scaling>
          <c:orientation val="minMax"/>
          <c:max val="3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2365816"/>
        <c:crossesAt val="0"/>
        <c:crossBetween val="between"/>
        <c:majorUnit val="2000"/>
      </c:valAx>
      <c:dateAx>
        <c:axId val="572365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2364856"/>
        <c:crossesAt val="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c:style val="2"/>
  <c:chart>
    <c:title>
      <c:tx>
        <c:rich>
          <a:bodyPr/>
          <a:lstStyle/>
          <a:p>
            <a:pPr>
              <a:defRPr sz="1600" b="0"/>
            </a:pPr>
            <a:r>
              <a:rPr lang="en-US"/>
              <a:t>Peters Aktier/Fonder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dLbls>
            <c:numFmt formatCode="#.##0&quot; &quot;[$kr-41D];&quot;-&quot;#.##0&quot; &quot;[$kr-41D]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cat>
            <c:numRef>
              <c:f>'Grafik-data'!$C$3:$C$22</c:f>
              <c:numCache>
                <c:formatCode>yy/mm/dd;@</c:formatCode>
                <c:ptCount val="20"/>
                <c:pt idx="0">
                  <c:v>44165</c:v>
                </c:pt>
                <c:pt idx="1">
                  <c:v>44193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'Grafik-data'!$D$3:$D$22</c:f>
              <c:numCache>
                <c:formatCode>#\ ##0.00" "[$kr-41D];[Red]"-"#\ ##0.00" "[$kr-41D]</c:formatCode>
                <c:ptCount val="20"/>
                <c:pt idx="0">
                  <c:v>1000</c:v>
                </c:pt>
                <c:pt idx="1">
                  <c:v>1149</c:v>
                </c:pt>
                <c:pt idx="2">
                  <c:v>1052</c:v>
                </c:pt>
                <c:pt idx="3">
                  <c:v>1030</c:v>
                </c:pt>
                <c:pt idx="4">
                  <c:v>3783</c:v>
                </c:pt>
                <c:pt idx="5">
                  <c:v>4941</c:v>
                </c:pt>
                <c:pt idx="6">
                  <c:v>6653</c:v>
                </c:pt>
                <c:pt idx="7">
                  <c:v>9757</c:v>
                </c:pt>
                <c:pt idx="8">
                  <c:v>20050</c:v>
                </c:pt>
                <c:pt idx="9">
                  <c:v>22200</c:v>
                </c:pt>
                <c:pt idx="10">
                  <c:v>24800</c:v>
                </c:pt>
                <c:pt idx="11">
                  <c:v>33500</c:v>
                </c:pt>
                <c:pt idx="12">
                  <c:v>33500</c:v>
                </c:pt>
                <c:pt idx="13">
                  <c:v>30800</c:v>
                </c:pt>
                <c:pt idx="14">
                  <c:v>34500</c:v>
                </c:pt>
                <c:pt idx="15">
                  <c:v>37500</c:v>
                </c:pt>
                <c:pt idx="16">
                  <c:v>38000</c:v>
                </c:pt>
                <c:pt idx="17">
                  <c:v>32100</c:v>
                </c:pt>
                <c:pt idx="18">
                  <c:v>26565</c:v>
                </c:pt>
                <c:pt idx="19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6-422E-867B-7A777275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367736"/>
        <c:axId val="572367416"/>
      </c:lineChart>
      <c:valAx>
        <c:axId val="572367416"/>
        <c:scaling>
          <c:orientation val="minMax"/>
          <c:max val="6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2367736"/>
        <c:crossesAt val="0"/>
        <c:crossBetween val="between"/>
        <c:majorUnit val="2000"/>
      </c:valAx>
      <c:dateAx>
        <c:axId val="572367736"/>
        <c:scaling>
          <c:orientation val="minMax"/>
        </c:scaling>
        <c:delete val="0"/>
        <c:axPos val="b"/>
        <c:numFmt formatCode="[$-100041D]yy\-m\-d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2367416"/>
        <c:crossesAt val="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c:style val="2"/>
  <c:chart>
    <c:title>
      <c:tx>
        <c:rich>
          <a:bodyPr/>
          <a:lstStyle/>
          <a:p>
            <a:pPr>
              <a:defRPr sz="1600" b="0"/>
            </a:pPr>
            <a:r>
              <a:rPr lang="en-US"/>
              <a:t>Totalt Sparande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70466485394615"/>
          <c:y val="0.11113911428053738"/>
          <c:w val="0.86271630964990231"/>
          <c:h val="0.80055168812867872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dLbls>
            <c:numFmt formatCode="#.##0&quot; &quot;[$kr-41D];[Red]&quot;-&quot;#.##0&quot; &quot;[$kr-41D]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cat>
            <c:numRef>
              <c:f>'Grafik-data'!$E$3:$E$22</c:f>
              <c:numCache>
                <c:formatCode>yy/mm/dd;@</c:formatCode>
                <c:ptCount val="20"/>
                <c:pt idx="0">
                  <c:v>44165</c:v>
                </c:pt>
                <c:pt idx="1">
                  <c:v>44193</c:v>
                </c:pt>
                <c:pt idx="2">
                  <c:v>44206</c:v>
                </c:pt>
                <c:pt idx="3">
                  <c:v>44221</c:v>
                </c:pt>
                <c:pt idx="4">
                  <c:v>44238</c:v>
                </c:pt>
                <c:pt idx="5">
                  <c:v>44240</c:v>
                </c:pt>
                <c:pt idx="6">
                  <c:v>44253</c:v>
                </c:pt>
                <c:pt idx="7">
                  <c:v>44280</c:v>
                </c:pt>
                <c:pt idx="8">
                  <c:v>44311</c:v>
                </c:pt>
                <c:pt idx="9">
                  <c:v>44341</c:v>
                </c:pt>
                <c:pt idx="10">
                  <c:v>44372</c:v>
                </c:pt>
                <c:pt idx="11">
                  <c:v>44402</c:v>
                </c:pt>
                <c:pt idx="12">
                  <c:v>44433</c:v>
                </c:pt>
                <c:pt idx="13">
                  <c:v>44464</c:v>
                </c:pt>
                <c:pt idx="14">
                  <c:v>44494</c:v>
                </c:pt>
                <c:pt idx="15">
                  <c:v>44525</c:v>
                </c:pt>
                <c:pt idx="16">
                  <c:v>44555</c:v>
                </c:pt>
                <c:pt idx="17">
                  <c:v>44586</c:v>
                </c:pt>
                <c:pt idx="18">
                  <c:v>44617</c:v>
                </c:pt>
                <c:pt idx="19">
                  <c:v>44645</c:v>
                </c:pt>
              </c:numCache>
            </c:numRef>
          </c:cat>
          <c:val>
            <c:numRef>
              <c:f>'Grafik-data'!$F$3:$F$22</c:f>
              <c:numCache>
                <c:formatCode>_("kr"* #,##0.00_);_("kr"* \(#,##0.00\);_("kr"* "-"??_);_(@_)</c:formatCode>
                <c:ptCount val="20"/>
                <c:pt idx="0">
                  <c:v>6579</c:v>
                </c:pt>
                <c:pt idx="1">
                  <c:v>8299</c:v>
                </c:pt>
                <c:pt idx="2">
                  <c:v>7552</c:v>
                </c:pt>
                <c:pt idx="3">
                  <c:v>10755</c:v>
                </c:pt>
                <c:pt idx="4">
                  <c:v>11783</c:v>
                </c:pt>
                <c:pt idx="5">
                  <c:v>11941</c:v>
                </c:pt>
                <c:pt idx="6">
                  <c:v>15313</c:v>
                </c:pt>
                <c:pt idx="7">
                  <c:v>19029</c:v>
                </c:pt>
                <c:pt idx="8">
                  <c:v>32050</c:v>
                </c:pt>
                <c:pt idx="9">
                  <c:v>32100</c:v>
                </c:pt>
                <c:pt idx="10">
                  <c:v>31800</c:v>
                </c:pt>
                <c:pt idx="11">
                  <c:v>42500</c:v>
                </c:pt>
                <c:pt idx="12">
                  <c:v>40500</c:v>
                </c:pt>
                <c:pt idx="13">
                  <c:v>37800</c:v>
                </c:pt>
                <c:pt idx="14">
                  <c:v>36200</c:v>
                </c:pt>
                <c:pt idx="15">
                  <c:v>41200</c:v>
                </c:pt>
                <c:pt idx="16">
                  <c:v>41600</c:v>
                </c:pt>
                <c:pt idx="17">
                  <c:v>33000</c:v>
                </c:pt>
                <c:pt idx="18">
                  <c:v>29565</c:v>
                </c:pt>
                <c:pt idx="19">
                  <c:v>28407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7-4C65-BFBB-8D491DCF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36568"/>
        <c:axId val="579735608"/>
      </c:lineChart>
      <c:valAx>
        <c:axId val="579735608"/>
        <c:scaling>
          <c:orientation val="minMax"/>
          <c:max val="8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.##0&quot; &quot;[$kr-41D];&quot;-&quot;#.##0&quot; &quot;[$kr-41D]" sourceLinked="0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sv-SE"/>
          </a:p>
        </c:txPr>
        <c:crossAx val="579736568"/>
        <c:crossesAt val="0"/>
        <c:crossBetween val="between"/>
        <c:majorUnit val="5000"/>
      </c:valAx>
      <c:dateAx>
        <c:axId val="579736568"/>
        <c:scaling>
          <c:orientation val="minMax"/>
        </c:scaling>
        <c:delete val="0"/>
        <c:axPos val="b"/>
        <c:numFmt formatCode="yy/mm/dd;@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700" b="0"/>
            </a:pPr>
            <a:endParaRPr lang="sv-SE"/>
          </a:p>
        </c:txPr>
        <c:crossAx val="579735608"/>
        <c:crossesAt val="0"/>
        <c:auto val="1"/>
        <c:lblOffset val="100"/>
        <c:baseTimeUnit val="days"/>
      </c:date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16</xdr:row>
      <xdr:rowOff>0</xdr:rowOff>
    </xdr:from>
    <xdr:to>
      <xdr:col>8</xdr:col>
      <xdr:colOff>828676</xdr:colOff>
      <xdr:row>32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6273B09-8EAB-E87A-962A-47628097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16</xdr:row>
      <xdr:rowOff>0</xdr:rowOff>
    </xdr:from>
    <xdr:to>
      <xdr:col>14</xdr:col>
      <xdr:colOff>233362</xdr:colOff>
      <xdr:row>30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15A4887-FEDD-8415-A816-5A0F8CC62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16</xdr:row>
      <xdr:rowOff>0</xdr:rowOff>
    </xdr:from>
    <xdr:to>
      <xdr:col>19</xdr:col>
      <xdr:colOff>752475</xdr:colOff>
      <xdr:row>30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51148DD-2738-116A-5239-0FF0EB5A9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272880</xdr:colOff>
      <xdr:row>1</xdr:row>
      <xdr:rowOff>77401</xdr:rowOff>
    </xdr:from>
    <xdr:ext cx="5463360" cy="4781420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79276D6-9C84-4BFD-8E9D-027423FAB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191520</xdr:colOff>
      <xdr:row>1</xdr:row>
      <xdr:rowOff>102600</xdr:rowOff>
    </xdr:from>
    <xdr:ext cx="6473879" cy="4756220"/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A2C0724-5AE5-4BA4-B48B-615E1CC99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17</xdr:col>
      <xdr:colOff>515879</xdr:colOff>
      <xdr:row>1</xdr:row>
      <xdr:rowOff>90720</xdr:rowOff>
    </xdr:from>
    <xdr:ext cx="6473879" cy="4757398"/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FCE64A0-02FE-42A5-90B6-017DD254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"/>
  <sheetViews>
    <sheetView workbookViewId="0">
      <selection activeCell="Z19" sqref="Z19"/>
    </sheetView>
  </sheetViews>
  <sheetFormatPr defaultRowHeight="15" x14ac:dyDescent="0.25"/>
  <cols>
    <col min="1" max="1" width="19.75" style="1" customWidth="1"/>
    <col min="2" max="2" width="13.375" style="1" customWidth="1"/>
    <col min="3" max="4" width="12.625" style="1" customWidth="1"/>
    <col min="5" max="5" width="12.5" style="1" customWidth="1"/>
    <col min="6" max="6" width="13.125" style="1" customWidth="1"/>
    <col min="7" max="7" width="12.5" style="1" customWidth="1"/>
    <col min="8" max="8" width="13.125" style="1" customWidth="1"/>
    <col min="9" max="9" width="12.5" style="1" customWidth="1"/>
    <col min="10" max="10" width="13.125" style="1" customWidth="1"/>
    <col min="11" max="14" width="11" style="1" bestFit="1" customWidth="1"/>
    <col min="15" max="15" width="12.375" style="1" bestFit="1" customWidth="1"/>
    <col min="16" max="22" width="11" style="1" bestFit="1" customWidth="1"/>
    <col min="23" max="1024" width="8.25" style="1" customWidth="1"/>
  </cols>
  <sheetData>
    <row r="1" spans="1:1024" s="67" customFormat="1" x14ac:dyDescent="0.25">
      <c r="A1" s="6" t="s">
        <v>102</v>
      </c>
      <c r="B1" s="96"/>
      <c r="C1" s="96"/>
      <c r="D1" s="96">
        <v>44221</v>
      </c>
      <c r="E1" s="96">
        <v>44252</v>
      </c>
      <c r="F1" s="96">
        <v>44280</v>
      </c>
      <c r="G1" s="96">
        <v>44311</v>
      </c>
      <c r="H1" s="96">
        <v>44341</v>
      </c>
      <c r="I1" s="96">
        <v>44372</v>
      </c>
      <c r="J1" s="96">
        <v>44402</v>
      </c>
      <c r="K1" s="96">
        <v>44433</v>
      </c>
      <c r="L1" s="96">
        <v>44464</v>
      </c>
      <c r="M1" s="96">
        <v>44494</v>
      </c>
      <c r="N1" s="96">
        <v>44525</v>
      </c>
      <c r="O1" s="96">
        <v>44555</v>
      </c>
      <c r="P1" s="96">
        <v>44586</v>
      </c>
      <c r="Q1" s="96">
        <v>44617</v>
      </c>
      <c r="R1" s="96">
        <v>44645</v>
      </c>
      <c r="S1" s="96">
        <v>44676</v>
      </c>
      <c r="T1" s="96">
        <v>44706</v>
      </c>
      <c r="U1" s="96">
        <v>44737</v>
      </c>
      <c r="V1" s="96">
        <v>44768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spans="1:1024" x14ac:dyDescent="0.25">
      <c r="A2" s="1" t="s">
        <v>80</v>
      </c>
      <c r="B2" s="3">
        <v>0</v>
      </c>
      <c r="C2" s="7">
        <v>900</v>
      </c>
      <c r="D2" s="7">
        <v>0</v>
      </c>
      <c r="E2" s="8">
        <v>780</v>
      </c>
      <c r="F2" s="54">
        <v>1300</v>
      </c>
      <c r="G2" s="54">
        <v>1200</v>
      </c>
      <c r="H2" s="54">
        <v>0</v>
      </c>
      <c r="I2" s="54">
        <v>0</v>
      </c>
      <c r="J2" s="54">
        <v>0</v>
      </c>
      <c r="K2" s="54">
        <v>0</v>
      </c>
      <c r="L2" s="54">
        <v>0</v>
      </c>
      <c r="M2" s="54">
        <v>0</v>
      </c>
      <c r="N2" s="54">
        <v>250</v>
      </c>
      <c r="O2" s="54">
        <v>0</v>
      </c>
      <c r="P2" s="54">
        <v>0</v>
      </c>
      <c r="Q2" s="54">
        <v>0</v>
      </c>
      <c r="R2" s="54">
        <v>0</v>
      </c>
      <c r="S2" s="54">
        <v>0</v>
      </c>
      <c r="T2" s="54">
        <v>0</v>
      </c>
      <c r="U2" s="54">
        <v>0</v>
      </c>
      <c r="V2" s="54">
        <v>0</v>
      </c>
    </row>
    <row r="3" spans="1:1024" x14ac:dyDescent="0.25">
      <c r="A3" s="1" t="s">
        <v>13</v>
      </c>
      <c r="B3" s="3">
        <v>8079</v>
      </c>
      <c r="C3" s="7">
        <v>7250</v>
      </c>
      <c r="D3" s="7">
        <v>9725</v>
      </c>
      <c r="E3" s="8">
        <v>8660</v>
      </c>
      <c r="F3" s="54">
        <v>9727</v>
      </c>
      <c r="G3" s="54">
        <v>12000</v>
      </c>
      <c r="H3" s="54">
        <v>9900</v>
      </c>
      <c r="I3" s="54">
        <v>12000</v>
      </c>
      <c r="J3" s="54">
        <v>9000</v>
      </c>
      <c r="K3" s="54">
        <v>7000</v>
      </c>
      <c r="L3" s="54">
        <v>3000</v>
      </c>
      <c r="M3" s="54">
        <v>1700</v>
      </c>
      <c r="N3" s="54">
        <v>3700</v>
      </c>
      <c r="O3" s="54">
        <v>3600</v>
      </c>
      <c r="P3" s="54">
        <v>900</v>
      </c>
      <c r="Q3" s="54">
        <v>3000</v>
      </c>
      <c r="R3" s="54">
        <v>27500</v>
      </c>
      <c r="S3" s="54">
        <v>18020</v>
      </c>
      <c r="T3" s="54">
        <v>15000</v>
      </c>
      <c r="U3" s="54">
        <v>18000</v>
      </c>
      <c r="V3" s="54">
        <v>15400</v>
      </c>
    </row>
    <row r="4" spans="1:1024" x14ac:dyDescent="0.25">
      <c r="A4" s="1" t="s">
        <v>18</v>
      </c>
      <c r="B4" s="3">
        <v>0</v>
      </c>
      <c r="C4" s="7">
        <v>0</v>
      </c>
      <c r="D4" s="7">
        <v>0</v>
      </c>
      <c r="E4" s="8">
        <v>6580</v>
      </c>
      <c r="F4" s="54">
        <v>9757</v>
      </c>
      <c r="G4" s="54">
        <f>18550+1500</f>
        <v>20050</v>
      </c>
      <c r="H4" s="54">
        <v>22200</v>
      </c>
      <c r="I4" s="54">
        <v>24800</v>
      </c>
      <c r="J4" s="54">
        <v>33500</v>
      </c>
      <c r="K4" s="54">
        <v>33500</v>
      </c>
      <c r="L4" s="54">
        <v>30800</v>
      </c>
      <c r="M4" s="54">
        <v>34500</v>
      </c>
      <c r="N4" s="54">
        <v>37500</v>
      </c>
      <c r="O4" s="54">
        <v>38000</v>
      </c>
      <c r="P4" s="54">
        <v>32100</v>
      </c>
      <c r="Q4" s="54">
        <v>26565</v>
      </c>
      <c r="R4" s="54">
        <v>907</v>
      </c>
      <c r="S4" s="54">
        <v>907</v>
      </c>
      <c r="T4" s="54">
        <v>907</v>
      </c>
      <c r="U4" s="54">
        <v>907</v>
      </c>
      <c r="V4" s="54">
        <v>907</v>
      </c>
    </row>
    <row r="5" spans="1:1024" x14ac:dyDescent="0.25">
      <c r="A5" s="1" t="s">
        <v>14</v>
      </c>
      <c r="B5" s="3">
        <v>20000</v>
      </c>
      <c r="C5" s="7">
        <v>19300</v>
      </c>
      <c r="D5" s="7">
        <v>9500</v>
      </c>
      <c r="E5" s="8">
        <v>18000</v>
      </c>
      <c r="F5" s="54">
        <v>28000</v>
      </c>
      <c r="G5" s="54">
        <v>40000</v>
      </c>
      <c r="H5" s="54">
        <v>39000</v>
      </c>
      <c r="I5" s="54">
        <v>42000</v>
      </c>
      <c r="J5" s="54">
        <v>26000</v>
      </c>
      <c r="K5" s="54">
        <v>28500</v>
      </c>
      <c r="L5" s="54">
        <v>29000</v>
      </c>
      <c r="M5" s="54">
        <v>24000</v>
      </c>
      <c r="N5" s="54">
        <v>32500</v>
      </c>
      <c r="O5" s="54">
        <v>32500</v>
      </c>
      <c r="P5" s="54">
        <v>30000</v>
      </c>
      <c r="Q5" s="54">
        <v>28000</v>
      </c>
      <c r="R5" s="54">
        <v>29000</v>
      </c>
      <c r="S5" s="54">
        <v>23500</v>
      </c>
      <c r="T5" s="54">
        <v>21000</v>
      </c>
      <c r="U5" s="54">
        <v>29000</v>
      </c>
      <c r="V5" s="54">
        <v>28000</v>
      </c>
    </row>
    <row r="6" spans="1:1024" x14ac:dyDescent="0.25">
      <c r="A6" s="1" t="s">
        <v>15</v>
      </c>
      <c r="B6" s="3">
        <v>2000</v>
      </c>
      <c r="C6" s="7">
        <v>0</v>
      </c>
      <c r="D6" s="7">
        <v>1000</v>
      </c>
      <c r="E6" s="8">
        <v>2000</v>
      </c>
      <c r="F6" s="54">
        <v>3000</v>
      </c>
      <c r="G6" s="54">
        <v>7000</v>
      </c>
      <c r="H6" s="54">
        <v>8000</v>
      </c>
      <c r="I6" s="54">
        <v>7000</v>
      </c>
      <c r="J6" s="54">
        <v>9000</v>
      </c>
      <c r="K6" s="54">
        <v>9000</v>
      </c>
      <c r="L6" s="54">
        <v>10000</v>
      </c>
      <c r="M6" s="54">
        <v>0</v>
      </c>
      <c r="N6" s="54">
        <v>1000</v>
      </c>
      <c r="O6" s="54">
        <v>680</v>
      </c>
      <c r="P6" s="54">
        <v>381</v>
      </c>
      <c r="Q6" s="54">
        <v>381</v>
      </c>
      <c r="R6" s="54">
        <v>381</v>
      </c>
      <c r="S6" s="54">
        <v>1391</v>
      </c>
      <c r="T6" s="54">
        <v>1381</v>
      </c>
      <c r="U6" s="54">
        <v>1381</v>
      </c>
      <c r="V6" s="54">
        <v>1381</v>
      </c>
    </row>
    <row r="7" spans="1:1024" x14ac:dyDescent="0.25">
      <c r="A7" s="9" t="s">
        <v>16</v>
      </c>
      <c r="B7" s="3">
        <v>4500</v>
      </c>
      <c r="C7" s="7">
        <v>3000</v>
      </c>
      <c r="D7" s="7">
        <v>4000</v>
      </c>
      <c r="E7" s="8">
        <v>15000</v>
      </c>
      <c r="F7" s="54">
        <v>16000</v>
      </c>
      <c r="G7" s="54">
        <v>15500</v>
      </c>
      <c r="H7" s="54">
        <v>11300</v>
      </c>
      <c r="I7" s="54">
        <v>15000</v>
      </c>
      <c r="J7" s="54">
        <v>4500</v>
      </c>
      <c r="K7" s="54">
        <v>2000</v>
      </c>
      <c r="L7" s="54">
        <v>4500</v>
      </c>
      <c r="M7" s="54">
        <v>4000</v>
      </c>
      <c r="N7" s="54">
        <v>9000</v>
      </c>
      <c r="O7" s="54">
        <v>5900</v>
      </c>
      <c r="P7" s="54">
        <v>4000</v>
      </c>
      <c r="Q7" s="54">
        <v>4000</v>
      </c>
      <c r="R7" s="54">
        <v>1650</v>
      </c>
      <c r="S7" s="54">
        <v>15000</v>
      </c>
      <c r="T7" s="54">
        <v>12000</v>
      </c>
      <c r="U7" s="54">
        <v>27000</v>
      </c>
      <c r="V7" s="54">
        <v>27000</v>
      </c>
    </row>
    <row r="8" spans="1:1024" x14ac:dyDescent="0.25">
      <c r="A8" s="9" t="s">
        <v>19</v>
      </c>
      <c r="B8" s="3">
        <v>1952</v>
      </c>
      <c r="C8" s="10">
        <v>1952</v>
      </c>
      <c r="D8" s="10">
        <v>2084</v>
      </c>
      <c r="E8" s="8">
        <v>2086</v>
      </c>
      <c r="F8" s="54">
        <v>2167</v>
      </c>
      <c r="G8" s="54">
        <v>2243</v>
      </c>
      <c r="H8" s="54">
        <v>2243</v>
      </c>
      <c r="I8" s="54">
        <v>2243</v>
      </c>
      <c r="J8" s="54">
        <v>2243</v>
      </c>
      <c r="K8" s="54">
        <v>2243</v>
      </c>
      <c r="L8" s="54">
        <v>2243</v>
      </c>
      <c r="M8" s="54">
        <v>2243</v>
      </c>
      <c r="N8" s="54">
        <v>2561</v>
      </c>
      <c r="O8" s="54">
        <v>2539</v>
      </c>
      <c r="P8" s="54">
        <v>2539</v>
      </c>
      <c r="Q8" s="54">
        <v>2539</v>
      </c>
      <c r="R8" s="54">
        <v>2388</v>
      </c>
      <c r="S8" s="54">
        <v>2539</v>
      </c>
      <c r="T8" s="54">
        <v>2539</v>
      </c>
      <c r="U8" s="54">
        <v>2539</v>
      </c>
      <c r="V8" s="54">
        <v>2539</v>
      </c>
    </row>
    <row r="9" spans="1:1024" x14ac:dyDescent="0.25">
      <c r="A9" s="4" t="s">
        <v>20</v>
      </c>
      <c r="B9" s="5">
        <v>840</v>
      </c>
      <c r="C9" s="11">
        <v>840</v>
      </c>
      <c r="D9" s="11">
        <v>892</v>
      </c>
      <c r="E9" s="12">
        <v>891</v>
      </c>
      <c r="F9" s="55">
        <v>930</v>
      </c>
      <c r="G9" s="69">
        <v>959</v>
      </c>
      <c r="H9" s="69">
        <v>959</v>
      </c>
      <c r="I9" s="69">
        <v>959</v>
      </c>
      <c r="J9" s="69">
        <v>959</v>
      </c>
      <c r="K9" s="69">
        <v>959</v>
      </c>
      <c r="L9" s="69">
        <v>959</v>
      </c>
      <c r="M9" s="69">
        <v>959</v>
      </c>
      <c r="N9" s="69">
        <v>1106</v>
      </c>
      <c r="O9" s="69">
        <v>1105</v>
      </c>
      <c r="P9" s="69">
        <v>1105</v>
      </c>
      <c r="Q9" s="69">
        <v>1105</v>
      </c>
      <c r="R9" s="69">
        <v>1044</v>
      </c>
      <c r="S9" s="69">
        <v>1105</v>
      </c>
      <c r="T9" s="69">
        <v>1105</v>
      </c>
      <c r="U9" s="69">
        <v>1105</v>
      </c>
      <c r="V9" s="69">
        <v>1105</v>
      </c>
    </row>
    <row r="10" spans="1:1024" s="68" customFormat="1" ht="15.75" x14ac:dyDescent="0.25">
      <c r="A10" s="65" t="s">
        <v>21</v>
      </c>
      <c r="B10" s="66">
        <f t="shared" ref="B10:V10" si="0">SUM(B2:B9)</f>
        <v>37371</v>
      </c>
      <c r="C10" s="66">
        <f t="shared" si="0"/>
        <v>33242</v>
      </c>
      <c r="D10" s="66">
        <f t="shared" si="0"/>
        <v>27201</v>
      </c>
      <c r="E10" s="66">
        <f t="shared" si="0"/>
        <v>53997</v>
      </c>
      <c r="F10" s="66">
        <f t="shared" si="0"/>
        <v>70881</v>
      </c>
      <c r="G10" s="66">
        <f t="shared" si="0"/>
        <v>98952</v>
      </c>
      <c r="H10" s="66">
        <f t="shared" si="0"/>
        <v>93602</v>
      </c>
      <c r="I10" s="66">
        <f t="shared" si="0"/>
        <v>104002</v>
      </c>
      <c r="J10" s="66">
        <f t="shared" si="0"/>
        <v>85202</v>
      </c>
      <c r="K10" s="66">
        <f t="shared" si="0"/>
        <v>83202</v>
      </c>
      <c r="L10" s="66">
        <f t="shared" si="0"/>
        <v>80502</v>
      </c>
      <c r="M10" s="66">
        <f t="shared" si="0"/>
        <v>67402</v>
      </c>
      <c r="N10" s="66">
        <f t="shared" si="0"/>
        <v>87617</v>
      </c>
      <c r="O10" s="66">
        <f t="shared" si="0"/>
        <v>84324</v>
      </c>
      <c r="P10" s="66">
        <f t="shared" si="0"/>
        <v>71025</v>
      </c>
      <c r="Q10" s="66">
        <f t="shared" si="0"/>
        <v>65590</v>
      </c>
      <c r="R10" s="66">
        <f t="shared" si="0"/>
        <v>62870</v>
      </c>
      <c r="S10" s="66">
        <f t="shared" si="0"/>
        <v>62462</v>
      </c>
      <c r="T10" s="66">
        <f t="shared" si="0"/>
        <v>53932</v>
      </c>
      <c r="U10" s="66">
        <f t="shared" si="0"/>
        <v>79932</v>
      </c>
      <c r="V10" s="66">
        <f t="shared" si="0"/>
        <v>76332</v>
      </c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/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/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/>
      <c r="FE10" s="65"/>
      <c r="FF10" s="65"/>
      <c r="FG10" s="65"/>
      <c r="FH10" s="65"/>
      <c r="FI10" s="65"/>
      <c r="FJ10" s="65"/>
      <c r="FK10" s="65"/>
      <c r="FL10" s="65"/>
      <c r="FM10" s="65"/>
      <c r="FN10" s="65"/>
      <c r="FO10" s="65"/>
      <c r="FP10" s="65"/>
      <c r="FQ10" s="65"/>
      <c r="FR10" s="65"/>
      <c r="FS10" s="65"/>
      <c r="FT10" s="65"/>
      <c r="FU10" s="65"/>
      <c r="FV10" s="65"/>
      <c r="FW10" s="65"/>
      <c r="FX10" s="65"/>
      <c r="FY10" s="65"/>
      <c r="FZ10" s="65"/>
      <c r="GA10" s="65"/>
      <c r="GB10" s="65"/>
      <c r="GC10" s="65"/>
      <c r="GD10" s="65"/>
      <c r="GE10" s="65"/>
      <c r="GF10" s="65"/>
      <c r="GG10" s="65"/>
      <c r="GH10" s="65"/>
      <c r="GI10" s="65"/>
      <c r="GJ10" s="65"/>
      <c r="GK10" s="65"/>
      <c r="GL10" s="65"/>
      <c r="GM10" s="65"/>
      <c r="GN10" s="65"/>
      <c r="GO10" s="65"/>
      <c r="GP10" s="65"/>
      <c r="GQ10" s="65"/>
      <c r="GR10" s="65"/>
      <c r="GS10" s="65"/>
      <c r="GT10" s="65"/>
      <c r="GU10" s="65"/>
      <c r="GV10" s="65"/>
      <c r="GW10" s="65"/>
      <c r="GX10" s="65"/>
      <c r="GY10" s="65"/>
      <c r="GZ10" s="65"/>
      <c r="HA10" s="65"/>
      <c r="HB10" s="65"/>
      <c r="HC10" s="65"/>
      <c r="HD10" s="65"/>
      <c r="HE10" s="65"/>
      <c r="HF10" s="65"/>
      <c r="HG10" s="65"/>
      <c r="HH10" s="65"/>
      <c r="HI10" s="65"/>
      <c r="HJ10" s="65"/>
      <c r="HK10" s="65"/>
      <c r="HL10" s="65"/>
      <c r="HM10" s="65"/>
      <c r="HN10" s="65"/>
      <c r="HO10" s="65"/>
      <c r="HP10" s="65"/>
      <c r="HQ10" s="65"/>
      <c r="HR10" s="65"/>
      <c r="HS10" s="65"/>
      <c r="HT10" s="65"/>
      <c r="HU10" s="65"/>
      <c r="HV10" s="65"/>
      <c r="HW10" s="65"/>
      <c r="HX10" s="65"/>
      <c r="HY10" s="65"/>
      <c r="HZ10" s="65"/>
      <c r="IA10" s="65"/>
      <c r="IB10" s="65"/>
      <c r="IC10" s="65"/>
      <c r="ID10" s="65"/>
      <c r="IE10" s="65"/>
      <c r="IF10" s="65"/>
      <c r="IG10" s="65"/>
      <c r="IH10" s="65"/>
      <c r="II10" s="65"/>
      <c r="IJ10" s="65"/>
      <c r="IK10" s="65"/>
      <c r="IL10" s="65"/>
      <c r="IM10" s="65"/>
      <c r="IN10" s="65"/>
      <c r="IO10" s="65"/>
      <c r="IP10" s="65"/>
      <c r="IQ10" s="65"/>
      <c r="IR10" s="65"/>
      <c r="IS10" s="65"/>
      <c r="IT10" s="65"/>
      <c r="IU10" s="65"/>
      <c r="IV10" s="65"/>
      <c r="IW10" s="65"/>
      <c r="IX10" s="65"/>
      <c r="IY10" s="65"/>
      <c r="IZ10" s="65"/>
      <c r="JA10" s="65"/>
      <c r="JB10" s="65"/>
      <c r="JC10" s="65"/>
      <c r="JD10" s="65"/>
      <c r="JE10" s="65"/>
      <c r="JF10" s="65"/>
      <c r="JG10" s="65"/>
      <c r="JH10" s="65"/>
      <c r="JI10" s="65"/>
      <c r="JJ10" s="65"/>
      <c r="JK10" s="65"/>
      <c r="JL10" s="65"/>
      <c r="JM10" s="65"/>
      <c r="JN10" s="65"/>
      <c r="JO10" s="65"/>
      <c r="JP10" s="65"/>
      <c r="JQ10" s="65"/>
      <c r="JR10" s="65"/>
      <c r="JS10" s="65"/>
      <c r="JT10" s="65"/>
      <c r="JU10" s="65"/>
      <c r="JV10" s="65"/>
      <c r="JW10" s="65"/>
      <c r="JX10" s="65"/>
      <c r="JY10" s="65"/>
      <c r="JZ10" s="65"/>
      <c r="KA10" s="65"/>
      <c r="KB10" s="65"/>
      <c r="KC10" s="65"/>
      <c r="KD10" s="65"/>
      <c r="KE10" s="65"/>
      <c r="KF10" s="65"/>
      <c r="KG10" s="65"/>
      <c r="KH10" s="65"/>
      <c r="KI10" s="65"/>
      <c r="KJ10" s="65"/>
      <c r="KK10" s="65"/>
      <c r="KL10" s="65"/>
      <c r="KM10" s="65"/>
      <c r="KN10" s="65"/>
      <c r="KO10" s="65"/>
      <c r="KP10" s="65"/>
      <c r="KQ10" s="65"/>
      <c r="KR10" s="65"/>
      <c r="KS10" s="65"/>
      <c r="KT10" s="65"/>
      <c r="KU10" s="65"/>
      <c r="KV10" s="65"/>
      <c r="KW10" s="65"/>
      <c r="KX10" s="65"/>
      <c r="KY10" s="65"/>
      <c r="KZ10" s="65"/>
      <c r="LA10" s="65"/>
      <c r="LB10" s="65"/>
      <c r="LC10" s="65"/>
      <c r="LD10" s="65"/>
      <c r="LE10" s="65"/>
      <c r="LF10" s="65"/>
      <c r="LG10" s="65"/>
      <c r="LH10" s="65"/>
      <c r="LI10" s="65"/>
      <c r="LJ10" s="65"/>
      <c r="LK10" s="65"/>
      <c r="LL10" s="65"/>
      <c r="LM10" s="65"/>
      <c r="LN10" s="65"/>
      <c r="LO10" s="65"/>
      <c r="LP10" s="65"/>
      <c r="LQ10" s="65"/>
      <c r="LR10" s="65"/>
      <c r="LS10" s="65"/>
      <c r="LT10" s="65"/>
      <c r="LU10" s="65"/>
      <c r="LV10" s="65"/>
      <c r="LW10" s="65"/>
      <c r="LX10" s="65"/>
      <c r="LY10" s="65"/>
      <c r="LZ10" s="65"/>
      <c r="MA10" s="65"/>
      <c r="MB10" s="65"/>
      <c r="MC10" s="65"/>
      <c r="MD10" s="65"/>
      <c r="ME10" s="65"/>
      <c r="MF10" s="65"/>
      <c r="MG10" s="65"/>
      <c r="MH10" s="65"/>
      <c r="MI10" s="65"/>
      <c r="MJ10" s="65"/>
      <c r="MK10" s="65"/>
      <c r="ML10" s="65"/>
      <c r="MM10" s="65"/>
      <c r="MN10" s="65"/>
      <c r="MO10" s="65"/>
      <c r="MP10" s="65"/>
      <c r="MQ10" s="65"/>
      <c r="MR10" s="65"/>
      <c r="MS10" s="65"/>
      <c r="MT10" s="65"/>
      <c r="MU10" s="65"/>
      <c r="MV10" s="65"/>
      <c r="MW10" s="65"/>
      <c r="MX10" s="65"/>
      <c r="MY10" s="65"/>
      <c r="MZ10" s="65"/>
      <c r="NA10" s="65"/>
      <c r="NB10" s="65"/>
      <c r="NC10" s="65"/>
      <c r="ND10" s="65"/>
      <c r="NE10" s="65"/>
      <c r="NF10" s="65"/>
      <c r="NG10" s="65"/>
      <c r="NH10" s="65"/>
      <c r="NI10" s="65"/>
      <c r="NJ10" s="65"/>
      <c r="NK10" s="65"/>
      <c r="NL10" s="65"/>
      <c r="NM10" s="65"/>
      <c r="NN10" s="65"/>
      <c r="NO10" s="65"/>
      <c r="NP10" s="65"/>
      <c r="NQ10" s="65"/>
      <c r="NR10" s="65"/>
      <c r="NS10" s="65"/>
      <c r="NT10" s="65"/>
      <c r="NU10" s="65"/>
      <c r="NV10" s="65"/>
      <c r="NW10" s="65"/>
      <c r="NX10" s="65"/>
      <c r="NY10" s="65"/>
      <c r="NZ10" s="65"/>
      <c r="OA10" s="65"/>
      <c r="OB10" s="65"/>
      <c r="OC10" s="65"/>
      <c r="OD10" s="65"/>
      <c r="OE10" s="65"/>
      <c r="OF10" s="65"/>
      <c r="OG10" s="65"/>
      <c r="OH10" s="65"/>
      <c r="OI10" s="65"/>
      <c r="OJ10" s="65"/>
      <c r="OK10" s="65"/>
      <c r="OL10" s="65"/>
      <c r="OM10" s="65"/>
      <c r="ON10" s="65"/>
      <c r="OO10" s="65"/>
      <c r="OP10" s="65"/>
      <c r="OQ10" s="65"/>
      <c r="OR10" s="65"/>
      <c r="OS10" s="65"/>
      <c r="OT10" s="65"/>
      <c r="OU10" s="65"/>
      <c r="OV10" s="65"/>
      <c r="OW10" s="65"/>
      <c r="OX10" s="65"/>
      <c r="OY10" s="65"/>
      <c r="OZ10" s="65"/>
      <c r="PA10" s="65"/>
      <c r="PB10" s="65"/>
      <c r="PC10" s="65"/>
      <c r="PD10" s="65"/>
      <c r="PE10" s="65"/>
      <c r="PF10" s="65"/>
      <c r="PG10" s="65"/>
      <c r="PH10" s="65"/>
      <c r="PI10" s="65"/>
      <c r="PJ10" s="65"/>
      <c r="PK10" s="65"/>
      <c r="PL10" s="65"/>
      <c r="PM10" s="65"/>
      <c r="PN10" s="65"/>
      <c r="PO10" s="65"/>
      <c r="PP10" s="65"/>
      <c r="PQ10" s="65"/>
      <c r="PR10" s="65"/>
      <c r="PS10" s="65"/>
      <c r="PT10" s="65"/>
      <c r="PU10" s="65"/>
      <c r="PV10" s="65"/>
      <c r="PW10" s="65"/>
      <c r="PX10" s="65"/>
      <c r="PY10" s="65"/>
      <c r="PZ10" s="65"/>
      <c r="QA10" s="65"/>
      <c r="QB10" s="65"/>
      <c r="QC10" s="65"/>
      <c r="QD10" s="65"/>
      <c r="QE10" s="65"/>
      <c r="QF10" s="65"/>
      <c r="QG10" s="65"/>
      <c r="QH10" s="65"/>
      <c r="QI10" s="65"/>
      <c r="QJ10" s="65"/>
      <c r="QK10" s="65"/>
      <c r="QL10" s="65"/>
      <c r="QM10" s="65"/>
      <c r="QN10" s="65"/>
      <c r="QO10" s="65"/>
      <c r="QP10" s="65"/>
      <c r="QQ10" s="65"/>
      <c r="QR10" s="65"/>
      <c r="QS10" s="65"/>
      <c r="QT10" s="65"/>
      <c r="QU10" s="65"/>
      <c r="QV10" s="65"/>
      <c r="QW10" s="65"/>
      <c r="QX10" s="65"/>
      <c r="QY10" s="65"/>
      <c r="QZ10" s="65"/>
      <c r="RA10" s="65"/>
      <c r="RB10" s="65"/>
      <c r="RC10" s="65"/>
      <c r="RD10" s="65"/>
      <c r="RE10" s="65"/>
      <c r="RF10" s="65"/>
      <c r="RG10" s="65"/>
      <c r="RH10" s="65"/>
      <c r="RI10" s="65"/>
      <c r="RJ10" s="65"/>
      <c r="RK10" s="65"/>
      <c r="RL10" s="65"/>
      <c r="RM10" s="65"/>
      <c r="RN10" s="65"/>
      <c r="RO10" s="65"/>
      <c r="RP10" s="65"/>
      <c r="RQ10" s="65"/>
      <c r="RR10" s="65"/>
      <c r="RS10" s="65"/>
      <c r="RT10" s="65"/>
      <c r="RU10" s="65"/>
      <c r="RV10" s="65"/>
      <c r="RW10" s="65"/>
      <c r="RX10" s="65"/>
      <c r="RY10" s="65"/>
      <c r="RZ10" s="65"/>
      <c r="SA10" s="65"/>
      <c r="SB10" s="65"/>
      <c r="SC10" s="65"/>
      <c r="SD10" s="65"/>
      <c r="SE10" s="65"/>
      <c r="SF10" s="65"/>
      <c r="SG10" s="65"/>
      <c r="SH10" s="65"/>
      <c r="SI10" s="65"/>
      <c r="SJ10" s="65"/>
      <c r="SK10" s="65"/>
      <c r="SL10" s="65"/>
      <c r="SM10" s="65"/>
      <c r="SN10" s="65"/>
      <c r="SO10" s="65"/>
      <c r="SP10" s="65"/>
      <c r="SQ10" s="65"/>
      <c r="SR10" s="65"/>
      <c r="SS10" s="65"/>
      <c r="ST10" s="65"/>
      <c r="SU10" s="65"/>
      <c r="SV10" s="65"/>
      <c r="SW10" s="65"/>
      <c r="SX10" s="65"/>
      <c r="SY10" s="65"/>
      <c r="SZ10" s="65"/>
      <c r="TA10" s="65"/>
      <c r="TB10" s="65"/>
      <c r="TC10" s="65"/>
      <c r="TD10" s="65"/>
      <c r="TE10" s="65"/>
      <c r="TF10" s="65"/>
      <c r="TG10" s="65"/>
      <c r="TH10" s="65"/>
      <c r="TI10" s="65"/>
      <c r="TJ10" s="65"/>
      <c r="TK10" s="65"/>
      <c r="TL10" s="65"/>
      <c r="TM10" s="65"/>
      <c r="TN10" s="65"/>
      <c r="TO10" s="65"/>
      <c r="TP10" s="65"/>
      <c r="TQ10" s="65"/>
      <c r="TR10" s="65"/>
      <c r="TS10" s="65"/>
      <c r="TT10" s="65"/>
      <c r="TU10" s="65"/>
      <c r="TV10" s="65"/>
      <c r="TW10" s="65"/>
      <c r="TX10" s="65"/>
      <c r="TY10" s="65"/>
      <c r="TZ10" s="65"/>
      <c r="UA10" s="65"/>
      <c r="UB10" s="65"/>
      <c r="UC10" s="65"/>
      <c r="UD10" s="65"/>
      <c r="UE10" s="65"/>
      <c r="UF10" s="65"/>
      <c r="UG10" s="65"/>
      <c r="UH10" s="65"/>
      <c r="UI10" s="65"/>
      <c r="UJ10" s="65"/>
      <c r="UK10" s="65"/>
      <c r="UL10" s="65"/>
      <c r="UM10" s="65"/>
      <c r="UN10" s="65"/>
      <c r="UO10" s="65"/>
      <c r="UP10" s="65"/>
      <c r="UQ10" s="65"/>
      <c r="UR10" s="65"/>
      <c r="US10" s="65"/>
      <c r="UT10" s="65"/>
      <c r="UU10" s="65"/>
      <c r="UV10" s="65"/>
      <c r="UW10" s="65"/>
      <c r="UX10" s="65"/>
      <c r="UY10" s="65"/>
      <c r="UZ10" s="65"/>
      <c r="VA10" s="65"/>
      <c r="VB10" s="65"/>
      <c r="VC10" s="65"/>
      <c r="VD10" s="65"/>
      <c r="VE10" s="65"/>
      <c r="VF10" s="65"/>
      <c r="VG10" s="65"/>
      <c r="VH10" s="65"/>
      <c r="VI10" s="65"/>
      <c r="VJ10" s="65"/>
      <c r="VK10" s="65"/>
      <c r="VL10" s="65"/>
      <c r="VM10" s="65"/>
      <c r="VN10" s="65"/>
      <c r="VO10" s="65"/>
      <c r="VP10" s="65"/>
      <c r="VQ10" s="65"/>
      <c r="VR10" s="65"/>
      <c r="VS10" s="65"/>
      <c r="VT10" s="65"/>
      <c r="VU10" s="65"/>
      <c r="VV10" s="65"/>
      <c r="VW10" s="65"/>
      <c r="VX10" s="65"/>
      <c r="VY10" s="65"/>
      <c r="VZ10" s="65"/>
      <c r="WA10" s="65"/>
      <c r="WB10" s="65"/>
      <c r="WC10" s="65"/>
      <c r="WD10" s="65"/>
      <c r="WE10" s="65"/>
      <c r="WF10" s="65"/>
      <c r="WG10" s="65"/>
      <c r="WH10" s="65"/>
      <c r="WI10" s="65"/>
      <c r="WJ10" s="65"/>
      <c r="WK10" s="65"/>
      <c r="WL10" s="65"/>
      <c r="WM10" s="65"/>
      <c r="WN10" s="65"/>
      <c r="WO10" s="65"/>
      <c r="WP10" s="65"/>
      <c r="WQ10" s="65"/>
      <c r="WR10" s="65"/>
      <c r="WS10" s="65"/>
      <c r="WT10" s="65"/>
      <c r="WU10" s="65"/>
      <c r="WV10" s="65"/>
      <c r="WW10" s="65"/>
      <c r="WX10" s="65"/>
      <c r="WY10" s="65"/>
      <c r="WZ10" s="65"/>
      <c r="XA10" s="65"/>
      <c r="XB10" s="65"/>
      <c r="XC10" s="65"/>
      <c r="XD10" s="65"/>
      <c r="XE10" s="65"/>
      <c r="XF10" s="65"/>
      <c r="XG10" s="65"/>
      <c r="XH10" s="65"/>
      <c r="XI10" s="65"/>
      <c r="XJ10" s="65"/>
      <c r="XK10" s="65"/>
      <c r="XL10" s="65"/>
      <c r="XM10" s="65"/>
      <c r="XN10" s="65"/>
      <c r="XO10" s="65"/>
      <c r="XP10" s="65"/>
      <c r="XQ10" s="65"/>
      <c r="XR10" s="65"/>
      <c r="XS10" s="65"/>
      <c r="XT10" s="65"/>
      <c r="XU10" s="65"/>
      <c r="XV10" s="65"/>
      <c r="XW10" s="65"/>
      <c r="XX10" s="65"/>
      <c r="XY10" s="65"/>
      <c r="XZ10" s="65"/>
      <c r="YA10" s="65"/>
      <c r="YB10" s="65"/>
      <c r="YC10" s="65"/>
      <c r="YD10" s="65"/>
      <c r="YE10" s="65"/>
      <c r="YF10" s="65"/>
      <c r="YG10" s="65"/>
      <c r="YH10" s="65"/>
      <c r="YI10" s="65"/>
      <c r="YJ10" s="65"/>
      <c r="YK10" s="65"/>
      <c r="YL10" s="65"/>
      <c r="YM10" s="65"/>
      <c r="YN10" s="65"/>
      <c r="YO10" s="65"/>
      <c r="YP10" s="65"/>
      <c r="YQ10" s="65"/>
      <c r="YR10" s="65"/>
      <c r="YS10" s="65"/>
      <c r="YT10" s="65"/>
      <c r="YU10" s="65"/>
      <c r="YV10" s="65"/>
      <c r="YW10" s="65"/>
      <c r="YX10" s="65"/>
      <c r="YY10" s="65"/>
      <c r="YZ10" s="65"/>
      <c r="ZA10" s="65"/>
      <c r="ZB10" s="65"/>
      <c r="ZC10" s="65"/>
      <c r="ZD10" s="65"/>
      <c r="ZE10" s="65"/>
      <c r="ZF10" s="65"/>
      <c r="ZG10" s="65"/>
      <c r="ZH10" s="65"/>
      <c r="ZI10" s="65"/>
      <c r="ZJ10" s="65"/>
      <c r="ZK10" s="65"/>
      <c r="ZL10" s="65"/>
      <c r="ZM10" s="65"/>
      <c r="ZN10" s="65"/>
      <c r="ZO10" s="65"/>
      <c r="ZP10" s="65"/>
      <c r="ZQ10" s="65"/>
      <c r="ZR10" s="65"/>
      <c r="ZS10" s="65"/>
      <c r="ZT10" s="65"/>
      <c r="ZU10" s="65"/>
      <c r="ZV10" s="65"/>
      <c r="ZW10" s="65"/>
      <c r="ZX10" s="65"/>
      <c r="ZY10" s="65"/>
      <c r="ZZ10" s="65"/>
      <c r="AAA10" s="65"/>
      <c r="AAB10" s="65"/>
      <c r="AAC10" s="65"/>
      <c r="AAD10" s="65"/>
      <c r="AAE10" s="65"/>
      <c r="AAF10" s="65"/>
      <c r="AAG10" s="65"/>
      <c r="AAH10" s="65"/>
      <c r="AAI10" s="65"/>
      <c r="AAJ10" s="65"/>
      <c r="AAK10" s="65"/>
      <c r="AAL10" s="65"/>
      <c r="AAM10" s="65"/>
      <c r="AAN10" s="65"/>
      <c r="AAO10" s="65"/>
      <c r="AAP10" s="65"/>
      <c r="AAQ10" s="65"/>
      <c r="AAR10" s="65"/>
      <c r="AAS10" s="65"/>
      <c r="AAT10" s="65"/>
      <c r="AAU10" s="65"/>
      <c r="AAV10" s="65"/>
      <c r="AAW10" s="65"/>
      <c r="AAX10" s="65"/>
      <c r="AAY10" s="65"/>
      <c r="AAZ10" s="65"/>
      <c r="ABA10" s="65"/>
      <c r="ABB10" s="65"/>
      <c r="ABC10" s="65"/>
      <c r="ABD10" s="65"/>
      <c r="ABE10" s="65"/>
      <c r="ABF10" s="65"/>
      <c r="ABG10" s="65"/>
      <c r="ABH10" s="65"/>
      <c r="ABI10" s="65"/>
      <c r="ABJ10" s="65"/>
      <c r="ABK10" s="65"/>
      <c r="ABL10" s="65"/>
      <c r="ABM10" s="65"/>
      <c r="ABN10" s="65"/>
      <c r="ABO10" s="65"/>
      <c r="ABP10" s="65"/>
      <c r="ABQ10" s="65"/>
      <c r="ABR10" s="65"/>
      <c r="ABS10" s="65"/>
      <c r="ABT10" s="65"/>
      <c r="ABU10" s="65"/>
      <c r="ABV10" s="65"/>
      <c r="ABW10" s="65"/>
      <c r="ABX10" s="65"/>
      <c r="ABY10" s="65"/>
      <c r="ABZ10" s="65"/>
      <c r="ACA10" s="65"/>
      <c r="ACB10" s="65"/>
      <c r="ACC10" s="65"/>
      <c r="ACD10" s="65"/>
      <c r="ACE10" s="65"/>
      <c r="ACF10" s="65"/>
      <c r="ACG10" s="65"/>
      <c r="ACH10" s="65"/>
      <c r="ACI10" s="65"/>
      <c r="ACJ10" s="65"/>
      <c r="ACK10" s="65"/>
      <c r="ACL10" s="65"/>
      <c r="ACM10" s="65"/>
      <c r="ACN10" s="65"/>
      <c r="ACO10" s="65"/>
      <c r="ACP10" s="65"/>
      <c r="ACQ10" s="65"/>
      <c r="ACR10" s="65"/>
      <c r="ACS10" s="65"/>
      <c r="ACT10" s="65"/>
      <c r="ACU10" s="65"/>
      <c r="ACV10" s="65"/>
      <c r="ACW10" s="65"/>
      <c r="ACX10" s="65"/>
      <c r="ACY10" s="65"/>
      <c r="ACZ10" s="65"/>
      <c r="ADA10" s="65"/>
      <c r="ADB10" s="65"/>
      <c r="ADC10" s="65"/>
      <c r="ADD10" s="65"/>
      <c r="ADE10" s="65"/>
      <c r="ADF10" s="65"/>
      <c r="ADG10" s="65"/>
      <c r="ADH10" s="65"/>
      <c r="ADI10" s="65"/>
      <c r="ADJ10" s="65"/>
      <c r="ADK10" s="65"/>
      <c r="ADL10" s="65"/>
      <c r="ADM10" s="65"/>
      <c r="ADN10" s="65"/>
      <c r="ADO10" s="65"/>
      <c r="ADP10" s="65"/>
      <c r="ADQ10" s="65"/>
      <c r="ADR10" s="65"/>
      <c r="ADS10" s="65"/>
      <c r="ADT10" s="65"/>
      <c r="ADU10" s="65"/>
      <c r="ADV10" s="65"/>
      <c r="ADW10" s="65"/>
      <c r="ADX10" s="65"/>
      <c r="ADY10" s="65"/>
      <c r="ADZ10" s="65"/>
      <c r="AEA10" s="65"/>
      <c r="AEB10" s="65"/>
      <c r="AEC10" s="65"/>
      <c r="AED10" s="65"/>
      <c r="AEE10" s="65"/>
      <c r="AEF10" s="65"/>
      <c r="AEG10" s="65"/>
      <c r="AEH10" s="65"/>
      <c r="AEI10" s="65"/>
      <c r="AEJ10" s="65"/>
      <c r="AEK10" s="65"/>
      <c r="AEL10" s="65"/>
      <c r="AEM10" s="65"/>
      <c r="AEN10" s="65"/>
      <c r="AEO10" s="65"/>
      <c r="AEP10" s="65"/>
      <c r="AEQ10" s="65"/>
      <c r="AER10" s="65"/>
      <c r="AES10" s="65"/>
      <c r="AET10" s="65"/>
      <c r="AEU10" s="65"/>
      <c r="AEV10" s="65"/>
      <c r="AEW10" s="65"/>
      <c r="AEX10" s="65"/>
      <c r="AEY10" s="65"/>
      <c r="AEZ10" s="65"/>
      <c r="AFA10" s="65"/>
      <c r="AFB10" s="65"/>
      <c r="AFC10" s="65"/>
      <c r="AFD10" s="65"/>
      <c r="AFE10" s="65"/>
      <c r="AFF10" s="65"/>
      <c r="AFG10" s="65"/>
      <c r="AFH10" s="65"/>
      <c r="AFI10" s="65"/>
      <c r="AFJ10" s="65"/>
      <c r="AFK10" s="65"/>
      <c r="AFL10" s="65"/>
      <c r="AFM10" s="65"/>
      <c r="AFN10" s="65"/>
      <c r="AFO10" s="65"/>
      <c r="AFP10" s="65"/>
      <c r="AFQ10" s="65"/>
      <c r="AFR10" s="65"/>
      <c r="AFS10" s="65"/>
      <c r="AFT10" s="65"/>
      <c r="AFU10" s="65"/>
      <c r="AFV10" s="65"/>
      <c r="AFW10" s="65"/>
      <c r="AFX10" s="65"/>
      <c r="AFY10" s="65"/>
      <c r="AFZ10" s="65"/>
      <c r="AGA10" s="65"/>
      <c r="AGB10" s="65"/>
      <c r="AGC10" s="65"/>
      <c r="AGD10" s="65"/>
      <c r="AGE10" s="65"/>
      <c r="AGF10" s="65"/>
      <c r="AGG10" s="65"/>
      <c r="AGH10" s="65"/>
      <c r="AGI10" s="65"/>
      <c r="AGJ10" s="65"/>
      <c r="AGK10" s="65"/>
      <c r="AGL10" s="65"/>
      <c r="AGM10" s="65"/>
      <c r="AGN10" s="65"/>
      <c r="AGO10" s="65"/>
      <c r="AGP10" s="65"/>
      <c r="AGQ10" s="65"/>
      <c r="AGR10" s="65"/>
      <c r="AGS10" s="65"/>
      <c r="AGT10" s="65"/>
      <c r="AGU10" s="65"/>
      <c r="AGV10" s="65"/>
      <c r="AGW10" s="65"/>
      <c r="AGX10" s="65"/>
      <c r="AGY10" s="65"/>
      <c r="AGZ10" s="65"/>
      <c r="AHA10" s="65"/>
      <c r="AHB10" s="65"/>
      <c r="AHC10" s="65"/>
      <c r="AHD10" s="65"/>
      <c r="AHE10" s="65"/>
      <c r="AHF10" s="65"/>
      <c r="AHG10" s="65"/>
      <c r="AHH10" s="65"/>
      <c r="AHI10" s="65"/>
      <c r="AHJ10" s="65"/>
      <c r="AHK10" s="65"/>
      <c r="AHL10" s="65"/>
      <c r="AHM10" s="65"/>
      <c r="AHN10" s="65"/>
      <c r="AHO10" s="65"/>
      <c r="AHP10" s="65"/>
      <c r="AHQ10" s="65"/>
      <c r="AHR10" s="65"/>
      <c r="AHS10" s="65"/>
      <c r="AHT10" s="65"/>
      <c r="AHU10" s="65"/>
      <c r="AHV10" s="65"/>
      <c r="AHW10" s="65"/>
      <c r="AHX10" s="65"/>
      <c r="AHY10" s="65"/>
      <c r="AHZ10" s="65"/>
      <c r="AIA10" s="65"/>
      <c r="AIB10" s="65"/>
      <c r="AIC10" s="65"/>
      <c r="AID10" s="65"/>
      <c r="AIE10" s="65"/>
      <c r="AIF10" s="65"/>
      <c r="AIG10" s="65"/>
      <c r="AIH10" s="65"/>
      <c r="AII10" s="65"/>
      <c r="AIJ10" s="65"/>
      <c r="AIK10" s="65"/>
      <c r="AIL10" s="65"/>
      <c r="AIM10" s="65"/>
      <c r="AIN10" s="65"/>
      <c r="AIO10" s="65"/>
      <c r="AIP10" s="65"/>
      <c r="AIQ10" s="65"/>
      <c r="AIR10" s="65"/>
      <c r="AIS10" s="65"/>
      <c r="AIT10" s="65"/>
      <c r="AIU10" s="65"/>
      <c r="AIV10" s="65"/>
      <c r="AIW10" s="65"/>
      <c r="AIX10" s="65"/>
      <c r="AIY10" s="65"/>
      <c r="AIZ10" s="65"/>
      <c r="AJA10" s="65"/>
      <c r="AJB10" s="65"/>
      <c r="AJC10" s="65"/>
      <c r="AJD10" s="65"/>
      <c r="AJE10" s="65"/>
      <c r="AJF10" s="65"/>
      <c r="AJG10" s="65"/>
      <c r="AJH10" s="65"/>
      <c r="AJI10" s="65"/>
      <c r="AJJ10" s="65"/>
      <c r="AJK10" s="65"/>
      <c r="AJL10" s="65"/>
      <c r="AJM10" s="65"/>
      <c r="AJN10" s="65"/>
      <c r="AJO10" s="65"/>
      <c r="AJP10" s="65"/>
      <c r="AJQ10" s="65"/>
      <c r="AJR10" s="65"/>
      <c r="AJS10" s="65"/>
      <c r="AJT10" s="65"/>
      <c r="AJU10" s="65"/>
      <c r="AJV10" s="65"/>
      <c r="AJW10" s="65"/>
      <c r="AJX10" s="65"/>
      <c r="AJY10" s="65"/>
      <c r="AJZ10" s="65"/>
      <c r="AKA10" s="65"/>
      <c r="AKB10" s="65"/>
      <c r="AKC10" s="65"/>
      <c r="AKD10" s="65"/>
      <c r="AKE10" s="65"/>
      <c r="AKF10" s="65"/>
      <c r="AKG10" s="65"/>
      <c r="AKH10" s="65"/>
      <c r="AKI10" s="65"/>
      <c r="AKJ10" s="65"/>
      <c r="AKK10" s="65"/>
      <c r="AKL10" s="65"/>
      <c r="AKM10" s="65"/>
      <c r="AKN10" s="65"/>
      <c r="AKO10" s="65"/>
      <c r="AKP10" s="65"/>
      <c r="AKQ10" s="65"/>
      <c r="AKR10" s="65"/>
      <c r="AKS10" s="65"/>
      <c r="AKT10" s="65"/>
      <c r="AKU10" s="65"/>
      <c r="AKV10" s="65"/>
      <c r="AKW10" s="65"/>
      <c r="AKX10" s="65"/>
      <c r="AKY10" s="65"/>
      <c r="AKZ10" s="65"/>
      <c r="ALA10" s="65"/>
      <c r="ALB10" s="65"/>
      <c r="ALC10" s="65"/>
      <c r="ALD10" s="65"/>
      <c r="ALE10" s="65"/>
      <c r="ALF10" s="65"/>
      <c r="ALG10" s="65"/>
      <c r="ALH10" s="65"/>
      <c r="ALI10" s="65"/>
      <c r="ALJ10" s="65"/>
      <c r="ALK10" s="65"/>
      <c r="ALL10" s="65"/>
      <c r="ALM10" s="65"/>
      <c r="ALN10" s="65"/>
      <c r="ALO10" s="65"/>
      <c r="ALP10" s="65"/>
      <c r="ALQ10" s="65"/>
      <c r="ALR10" s="65"/>
      <c r="ALS10" s="65"/>
      <c r="ALT10" s="65"/>
      <c r="ALU10" s="65"/>
      <c r="ALV10" s="65"/>
      <c r="ALW10" s="65"/>
      <c r="ALX10" s="65"/>
      <c r="ALY10" s="65"/>
      <c r="ALZ10" s="65"/>
      <c r="AMA10" s="65"/>
      <c r="AMB10" s="65"/>
      <c r="AMC10" s="65"/>
      <c r="AMD10" s="65"/>
      <c r="AME10" s="65"/>
      <c r="AMF10" s="65"/>
      <c r="AMG10" s="65"/>
      <c r="AMH10" s="65"/>
      <c r="AMI10" s="65"/>
      <c r="AMJ10" s="65"/>
    </row>
    <row r="11" spans="1:1024" s="62" customFormat="1" x14ac:dyDescent="0.25">
      <c r="A11" s="59" t="s">
        <v>81</v>
      </c>
      <c r="B11" s="59"/>
      <c r="C11" s="60">
        <f>C10-B10</f>
        <v>-4129</v>
      </c>
      <c r="D11" s="60">
        <f>D10-C10</f>
        <v>-6041</v>
      </c>
      <c r="E11" s="61">
        <f>E10-D10</f>
        <v>26796</v>
      </c>
      <c r="F11" s="61">
        <f>F10-E10</f>
        <v>16884</v>
      </c>
      <c r="G11" s="61">
        <f>G10-F10</f>
        <v>28071</v>
      </c>
      <c r="H11" s="60">
        <f t="shared" ref="H11:J11" si="1">H10-G10</f>
        <v>-5350</v>
      </c>
      <c r="I11" s="61">
        <f t="shared" si="1"/>
        <v>10400</v>
      </c>
      <c r="J11" s="60">
        <f t="shared" si="1"/>
        <v>-18800</v>
      </c>
      <c r="K11" s="60">
        <f t="shared" ref="K11" si="2">K10-J10</f>
        <v>-2000</v>
      </c>
      <c r="L11" s="87">
        <f t="shared" ref="L11" si="3">L10-K10</f>
        <v>-2700</v>
      </c>
      <c r="M11" s="60">
        <f t="shared" ref="M11:Q11" si="4">M10-L10</f>
        <v>-13100</v>
      </c>
      <c r="N11" s="91">
        <f t="shared" si="4"/>
        <v>20215</v>
      </c>
      <c r="O11" s="60">
        <f t="shared" si="4"/>
        <v>-3293</v>
      </c>
      <c r="P11" s="60">
        <f t="shared" si="4"/>
        <v>-13299</v>
      </c>
      <c r="Q11" s="60">
        <f t="shared" si="4"/>
        <v>-5435</v>
      </c>
      <c r="R11" s="60">
        <f t="shared" ref="R11" si="5">R10-Q10</f>
        <v>-2720</v>
      </c>
      <c r="S11" s="60">
        <f t="shared" ref="S11" si="6">S10-R10</f>
        <v>-408</v>
      </c>
      <c r="T11" s="60">
        <f t="shared" ref="T11" si="7">T10-S10</f>
        <v>-8530</v>
      </c>
      <c r="U11" s="91">
        <f t="shared" ref="U11:V11" si="8">U10-T10</f>
        <v>26000</v>
      </c>
      <c r="V11" s="91">
        <f t="shared" si="8"/>
        <v>-3600</v>
      </c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59"/>
      <c r="HD11" s="59"/>
      <c r="HE11" s="59"/>
      <c r="HF11" s="59"/>
      <c r="HG11" s="59"/>
      <c r="HH11" s="59"/>
      <c r="HI11" s="59"/>
      <c r="HJ11" s="59"/>
      <c r="HK11" s="59"/>
      <c r="HL11" s="59"/>
      <c r="HM11" s="59"/>
      <c r="HN11" s="59"/>
      <c r="HO11" s="59"/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59"/>
      <c r="IX11" s="59"/>
      <c r="IY11" s="59"/>
      <c r="IZ11" s="59"/>
      <c r="JA11" s="59"/>
      <c r="JB11" s="59"/>
      <c r="JC11" s="59"/>
      <c r="JD11" s="59"/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59"/>
      <c r="KI11" s="59"/>
      <c r="KJ11" s="59"/>
      <c r="KK11" s="59"/>
      <c r="KL11" s="59"/>
      <c r="KM11" s="59"/>
      <c r="KN11" s="59"/>
      <c r="KO11" s="59"/>
      <c r="KP11" s="59"/>
      <c r="KQ11" s="59"/>
      <c r="KR11" s="59"/>
      <c r="KS11" s="59"/>
      <c r="KT11" s="59"/>
      <c r="KU11" s="59"/>
      <c r="KV11" s="59"/>
      <c r="KW11" s="59"/>
      <c r="KX11" s="59"/>
      <c r="KY11" s="59"/>
      <c r="KZ11" s="59"/>
      <c r="LA11" s="59"/>
      <c r="LB11" s="59"/>
      <c r="LC11" s="59"/>
      <c r="LD11" s="59"/>
      <c r="LE11" s="59"/>
      <c r="LF11" s="59"/>
      <c r="LG11" s="59"/>
      <c r="LH11" s="59"/>
      <c r="LI11" s="59"/>
      <c r="LJ11" s="59"/>
      <c r="LK11" s="59"/>
      <c r="LL11" s="59"/>
      <c r="LM11" s="59"/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/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59"/>
      <c r="MR11" s="59"/>
      <c r="MS11" s="59"/>
      <c r="MT11" s="59"/>
      <c r="MU11" s="59"/>
      <c r="MV11" s="59"/>
      <c r="MW11" s="59"/>
      <c r="MX11" s="59"/>
      <c r="MY11" s="59"/>
      <c r="MZ11" s="59"/>
      <c r="NA11" s="59"/>
      <c r="NB11" s="59"/>
      <c r="NC11" s="59"/>
      <c r="ND11" s="59"/>
      <c r="NE11" s="59"/>
      <c r="NF11" s="59"/>
      <c r="NG11" s="59"/>
      <c r="NH11" s="59"/>
      <c r="NI11" s="59"/>
      <c r="NJ11" s="59"/>
      <c r="NK11" s="59"/>
      <c r="NL11" s="59"/>
      <c r="NM11" s="59"/>
      <c r="NN11" s="59"/>
      <c r="NO11" s="59"/>
      <c r="NP11" s="59"/>
      <c r="NQ11" s="59"/>
      <c r="NR11" s="59"/>
      <c r="NS11" s="59"/>
      <c r="NT11" s="59"/>
      <c r="NU11" s="59"/>
      <c r="NV11" s="59"/>
      <c r="NW11" s="59"/>
      <c r="NX11" s="59"/>
      <c r="NY11" s="59"/>
      <c r="NZ11" s="59"/>
      <c r="OA11" s="59"/>
      <c r="OB11" s="59"/>
      <c r="OC11" s="59"/>
      <c r="OD11" s="59"/>
      <c r="OE11" s="59"/>
      <c r="OF11" s="59"/>
      <c r="OG11" s="59"/>
      <c r="OH11" s="59"/>
      <c r="OI11" s="59"/>
      <c r="OJ11" s="59"/>
      <c r="OK11" s="59"/>
      <c r="OL11" s="59"/>
      <c r="OM11" s="59"/>
      <c r="ON11" s="59"/>
      <c r="OO11" s="59"/>
      <c r="OP11" s="59"/>
      <c r="OQ11" s="59"/>
      <c r="OR11" s="59"/>
      <c r="OS11" s="59"/>
      <c r="OT11" s="59"/>
      <c r="OU11" s="59"/>
      <c r="OV11" s="59"/>
      <c r="OW11" s="59"/>
      <c r="OX11" s="59"/>
      <c r="OY11" s="59"/>
      <c r="OZ11" s="59"/>
      <c r="PA11" s="59"/>
      <c r="PB11" s="59"/>
      <c r="PC11" s="59"/>
      <c r="PD11" s="59"/>
      <c r="PE11" s="59"/>
      <c r="PF11" s="59"/>
      <c r="PG11" s="59"/>
      <c r="PH11" s="59"/>
      <c r="PI11" s="59"/>
      <c r="PJ11" s="59"/>
      <c r="PK11" s="59"/>
      <c r="PL11" s="59"/>
      <c r="PM11" s="59"/>
      <c r="PN11" s="59"/>
      <c r="PO11" s="59"/>
      <c r="PP11" s="59"/>
      <c r="PQ11" s="59"/>
      <c r="PR11" s="59"/>
      <c r="PS11" s="59"/>
      <c r="PT11" s="59"/>
      <c r="PU11" s="59"/>
      <c r="PV11" s="59"/>
      <c r="PW11" s="59"/>
      <c r="PX11" s="59"/>
      <c r="PY11" s="59"/>
      <c r="PZ11" s="59"/>
      <c r="QA11" s="59"/>
      <c r="QB11" s="59"/>
      <c r="QC11" s="59"/>
      <c r="QD11" s="59"/>
      <c r="QE11" s="59"/>
      <c r="QF11" s="59"/>
      <c r="QG11" s="59"/>
      <c r="QH11" s="59"/>
      <c r="QI11" s="59"/>
      <c r="QJ11" s="59"/>
      <c r="QK11" s="59"/>
      <c r="QL11" s="59"/>
      <c r="QM11" s="59"/>
      <c r="QN11" s="59"/>
      <c r="QO11" s="59"/>
      <c r="QP11" s="59"/>
      <c r="QQ11" s="59"/>
      <c r="QR11" s="59"/>
      <c r="QS11" s="59"/>
      <c r="QT11" s="59"/>
      <c r="QU11" s="59"/>
      <c r="QV11" s="59"/>
      <c r="QW11" s="59"/>
      <c r="QX11" s="59"/>
      <c r="QY11" s="59"/>
      <c r="QZ11" s="59"/>
      <c r="RA11" s="59"/>
      <c r="RB11" s="59"/>
      <c r="RC11" s="59"/>
      <c r="RD11" s="59"/>
      <c r="RE11" s="59"/>
      <c r="RF11" s="59"/>
      <c r="RG11" s="59"/>
      <c r="RH11" s="59"/>
      <c r="RI11" s="59"/>
      <c r="RJ11" s="59"/>
      <c r="RK11" s="59"/>
      <c r="RL11" s="59"/>
      <c r="RM11" s="59"/>
      <c r="RN11" s="59"/>
      <c r="RO11" s="59"/>
      <c r="RP11" s="59"/>
      <c r="RQ11" s="59"/>
      <c r="RR11" s="59"/>
      <c r="RS11" s="59"/>
      <c r="RT11" s="59"/>
      <c r="RU11" s="59"/>
      <c r="RV11" s="59"/>
      <c r="RW11" s="59"/>
      <c r="RX11" s="59"/>
      <c r="RY11" s="59"/>
      <c r="RZ11" s="59"/>
      <c r="SA11" s="59"/>
      <c r="SB11" s="59"/>
      <c r="SC11" s="59"/>
      <c r="SD11" s="59"/>
      <c r="SE11" s="59"/>
      <c r="SF11" s="59"/>
      <c r="SG11" s="59"/>
      <c r="SH11" s="59"/>
      <c r="SI11" s="59"/>
      <c r="SJ11" s="59"/>
      <c r="SK11" s="59"/>
      <c r="SL11" s="59"/>
      <c r="SM11" s="59"/>
      <c r="SN11" s="59"/>
      <c r="SO11" s="59"/>
      <c r="SP11" s="59"/>
      <c r="SQ11" s="59"/>
      <c r="SR11" s="59"/>
      <c r="SS11" s="59"/>
      <c r="ST11" s="59"/>
      <c r="SU11" s="59"/>
      <c r="SV11" s="59"/>
      <c r="SW11" s="59"/>
      <c r="SX11" s="59"/>
      <c r="SY11" s="59"/>
      <c r="SZ11" s="59"/>
      <c r="TA11" s="59"/>
      <c r="TB11" s="59"/>
      <c r="TC11" s="59"/>
      <c r="TD11" s="59"/>
      <c r="TE11" s="59"/>
      <c r="TF11" s="59"/>
      <c r="TG11" s="59"/>
      <c r="TH11" s="59"/>
      <c r="TI11" s="59"/>
      <c r="TJ11" s="59"/>
      <c r="TK11" s="59"/>
      <c r="TL11" s="59"/>
      <c r="TM11" s="59"/>
      <c r="TN11" s="59"/>
      <c r="TO11" s="59"/>
      <c r="TP11" s="59"/>
      <c r="TQ11" s="59"/>
      <c r="TR11" s="59"/>
      <c r="TS11" s="59"/>
      <c r="TT11" s="59"/>
      <c r="TU11" s="59"/>
      <c r="TV11" s="59"/>
      <c r="TW11" s="59"/>
      <c r="TX11" s="59"/>
      <c r="TY11" s="59"/>
      <c r="TZ11" s="59"/>
      <c r="UA11" s="59"/>
      <c r="UB11" s="59"/>
      <c r="UC11" s="59"/>
      <c r="UD11" s="59"/>
      <c r="UE11" s="59"/>
      <c r="UF11" s="59"/>
      <c r="UG11" s="59"/>
      <c r="UH11" s="59"/>
      <c r="UI11" s="59"/>
      <c r="UJ11" s="59"/>
      <c r="UK11" s="59"/>
      <c r="UL11" s="59"/>
      <c r="UM11" s="59"/>
      <c r="UN11" s="59"/>
      <c r="UO11" s="59"/>
      <c r="UP11" s="59"/>
      <c r="UQ11" s="59"/>
      <c r="UR11" s="59"/>
      <c r="US11" s="59"/>
      <c r="UT11" s="59"/>
      <c r="UU11" s="59"/>
      <c r="UV11" s="59"/>
      <c r="UW11" s="59"/>
      <c r="UX11" s="59"/>
      <c r="UY11" s="59"/>
      <c r="UZ11" s="59"/>
      <c r="VA11" s="59"/>
      <c r="VB11" s="59"/>
      <c r="VC11" s="59"/>
      <c r="VD11" s="59"/>
      <c r="VE11" s="59"/>
      <c r="VF11" s="59"/>
      <c r="VG11" s="59"/>
      <c r="VH11" s="59"/>
      <c r="VI11" s="59"/>
      <c r="VJ11" s="59"/>
      <c r="VK11" s="59"/>
      <c r="VL11" s="59"/>
      <c r="VM11" s="59"/>
      <c r="VN11" s="59"/>
      <c r="VO11" s="59"/>
      <c r="VP11" s="59"/>
      <c r="VQ11" s="59"/>
      <c r="VR11" s="59"/>
      <c r="VS11" s="59"/>
      <c r="VT11" s="59"/>
      <c r="VU11" s="59"/>
      <c r="VV11" s="59"/>
      <c r="VW11" s="59"/>
      <c r="VX11" s="59"/>
      <c r="VY11" s="59"/>
      <c r="VZ11" s="59"/>
      <c r="WA11" s="59"/>
      <c r="WB11" s="59"/>
      <c r="WC11" s="59"/>
      <c r="WD11" s="59"/>
      <c r="WE11" s="59"/>
      <c r="WF11" s="59"/>
      <c r="WG11" s="59"/>
      <c r="WH11" s="59"/>
      <c r="WI11" s="59"/>
      <c r="WJ11" s="59"/>
      <c r="WK11" s="59"/>
      <c r="WL11" s="59"/>
      <c r="WM11" s="59"/>
      <c r="WN11" s="59"/>
      <c r="WO11" s="59"/>
      <c r="WP11" s="59"/>
      <c r="WQ11" s="59"/>
      <c r="WR11" s="59"/>
      <c r="WS11" s="59"/>
      <c r="WT11" s="59"/>
      <c r="WU11" s="59"/>
      <c r="WV11" s="59"/>
      <c r="WW11" s="59"/>
      <c r="WX11" s="59"/>
      <c r="WY11" s="59"/>
      <c r="WZ11" s="59"/>
      <c r="XA11" s="59"/>
      <c r="XB11" s="59"/>
      <c r="XC11" s="59"/>
      <c r="XD11" s="59"/>
      <c r="XE11" s="59"/>
      <c r="XF11" s="59"/>
      <c r="XG11" s="59"/>
      <c r="XH11" s="59"/>
      <c r="XI11" s="59"/>
      <c r="XJ11" s="59"/>
      <c r="XK11" s="59"/>
      <c r="XL11" s="59"/>
      <c r="XM11" s="59"/>
      <c r="XN11" s="59"/>
      <c r="XO11" s="59"/>
      <c r="XP11" s="59"/>
      <c r="XQ11" s="59"/>
      <c r="XR11" s="59"/>
      <c r="XS11" s="59"/>
      <c r="XT11" s="59"/>
      <c r="XU11" s="59"/>
      <c r="XV11" s="59"/>
      <c r="XW11" s="59"/>
      <c r="XX11" s="59"/>
      <c r="XY11" s="59"/>
      <c r="XZ11" s="59"/>
      <c r="YA11" s="59"/>
      <c r="YB11" s="59"/>
      <c r="YC11" s="59"/>
      <c r="YD11" s="59"/>
      <c r="YE11" s="59"/>
      <c r="YF11" s="59"/>
      <c r="YG11" s="59"/>
      <c r="YH11" s="59"/>
      <c r="YI11" s="59"/>
      <c r="YJ11" s="59"/>
      <c r="YK11" s="59"/>
      <c r="YL11" s="59"/>
      <c r="YM11" s="59"/>
      <c r="YN11" s="59"/>
      <c r="YO11" s="59"/>
      <c r="YP11" s="59"/>
      <c r="YQ11" s="59"/>
      <c r="YR11" s="59"/>
      <c r="YS11" s="59"/>
      <c r="YT11" s="59"/>
      <c r="YU11" s="59"/>
      <c r="YV11" s="59"/>
      <c r="YW11" s="59"/>
      <c r="YX11" s="59"/>
      <c r="YY11" s="59"/>
      <c r="YZ11" s="59"/>
      <c r="ZA11" s="59"/>
      <c r="ZB11" s="59"/>
      <c r="ZC11" s="59"/>
      <c r="ZD11" s="59"/>
      <c r="ZE11" s="59"/>
      <c r="ZF11" s="59"/>
      <c r="ZG11" s="59"/>
      <c r="ZH11" s="59"/>
      <c r="ZI11" s="59"/>
      <c r="ZJ11" s="59"/>
      <c r="ZK11" s="59"/>
      <c r="ZL11" s="59"/>
      <c r="ZM11" s="59"/>
      <c r="ZN11" s="59"/>
      <c r="ZO11" s="59"/>
      <c r="ZP11" s="59"/>
      <c r="ZQ11" s="59"/>
      <c r="ZR11" s="59"/>
      <c r="ZS11" s="59"/>
      <c r="ZT11" s="59"/>
      <c r="ZU11" s="59"/>
      <c r="ZV11" s="59"/>
      <c r="ZW11" s="59"/>
      <c r="ZX11" s="59"/>
      <c r="ZY11" s="59"/>
      <c r="ZZ11" s="59"/>
      <c r="AAA11" s="59"/>
      <c r="AAB11" s="59"/>
      <c r="AAC11" s="59"/>
      <c r="AAD11" s="59"/>
      <c r="AAE11" s="59"/>
      <c r="AAF11" s="59"/>
      <c r="AAG11" s="59"/>
      <c r="AAH11" s="59"/>
      <c r="AAI11" s="59"/>
      <c r="AAJ11" s="59"/>
      <c r="AAK11" s="59"/>
      <c r="AAL11" s="59"/>
      <c r="AAM11" s="59"/>
      <c r="AAN11" s="59"/>
      <c r="AAO11" s="59"/>
      <c r="AAP11" s="59"/>
      <c r="AAQ11" s="59"/>
      <c r="AAR11" s="59"/>
      <c r="AAS11" s="59"/>
      <c r="AAT11" s="59"/>
      <c r="AAU11" s="59"/>
      <c r="AAV11" s="59"/>
      <c r="AAW11" s="59"/>
      <c r="AAX11" s="59"/>
      <c r="AAY11" s="59"/>
      <c r="AAZ11" s="59"/>
      <c r="ABA11" s="59"/>
      <c r="ABB11" s="59"/>
      <c r="ABC11" s="59"/>
      <c r="ABD11" s="59"/>
      <c r="ABE11" s="59"/>
      <c r="ABF11" s="59"/>
      <c r="ABG11" s="59"/>
      <c r="ABH11" s="59"/>
      <c r="ABI11" s="59"/>
      <c r="ABJ11" s="59"/>
      <c r="ABK11" s="59"/>
      <c r="ABL11" s="59"/>
      <c r="ABM11" s="59"/>
      <c r="ABN11" s="59"/>
      <c r="ABO11" s="59"/>
      <c r="ABP11" s="59"/>
      <c r="ABQ11" s="59"/>
      <c r="ABR11" s="59"/>
      <c r="ABS11" s="59"/>
      <c r="ABT11" s="59"/>
      <c r="ABU11" s="59"/>
      <c r="ABV11" s="59"/>
      <c r="ABW11" s="59"/>
      <c r="ABX11" s="59"/>
      <c r="ABY11" s="59"/>
      <c r="ABZ11" s="59"/>
      <c r="ACA11" s="59"/>
      <c r="ACB11" s="59"/>
      <c r="ACC11" s="59"/>
      <c r="ACD11" s="59"/>
      <c r="ACE11" s="59"/>
      <c r="ACF11" s="59"/>
      <c r="ACG11" s="59"/>
      <c r="ACH11" s="59"/>
      <c r="ACI11" s="59"/>
      <c r="ACJ11" s="59"/>
      <c r="ACK11" s="59"/>
      <c r="ACL11" s="59"/>
      <c r="ACM11" s="59"/>
      <c r="ACN11" s="59"/>
      <c r="ACO11" s="59"/>
      <c r="ACP11" s="59"/>
      <c r="ACQ11" s="59"/>
      <c r="ACR11" s="59"/>
      <c r="ACS11" s="59"/>
      <c r="ACT11" s="59"/>
      <c r="ACU11" s="59"/>
      <c r="ACV11" s="59"/>
      <c r="ACW11" s="59"/>
      <c r="ACX11" s="59"/>
      <c r="ACY11" s="59"/>
      <c r="ACZ11" s="59"/>
      <c r="ADA11" s="59"/>
      <c r="ADB11" s="59"/>
      <c r="ADC11" s="59"/>
      <c r="ADD11" s="59"/>
      <c r="ADE11" s="59"/>
      <c r="ADF11" s="59"/>
      <c r="ADG11" s="59"/>
      <c r="ADH11" s="59"/>
      <c r="ADI11" s="59"/>
      <c r="ADJ11" s="59"/>
      <c r="ADK11" s="59"/>
      <c r="ADL11" s="59"/>
      <c r="ADM11" s="59"/>
      <c r="ADN11" s="59"/>
      <c r="ADO11" s="59"/>
      <c r="ADP11" s="59"/>
      <c r="ADQ11" s="59"/>
      <c r="ADR11" s="59"/>
      <c r="ADS11" s="59"/>
      <c r="ADT11" s="59"/>
      <c r="ADU11" s="59"/>
      <c r="ADV11" s="59"/>
      <c r="ADW11" s="59"/>
      <c r="ADX11" s="59"/>
      <c r="ADY11" s="59"/>
      <c r="ADZ11" s="59"/>
      <c r="AEA11" s="59"/>
      <c r="AEB11" s="59"/>
      <c r="AEC11" s="59"/>
      <c r="AED11" s="59"/>
      <c r="AEE11" s="59"/>
      <c r="AEF11" s="59"/>
      <c r="AEG11" s="59"/>
      <c r="AEH11" s="59"/>
      <c r="AEI11" s="59"/>
      <c r="AEJ11" s="59"/>
      <c r="AEK11" s="59"/>
      <c r="AEL11" s="59"/>
      <c r="AEM11" s="59"/>
      <c r="AEN11" s="59"/>
      <c r="AEO11" s="59"/>
      <c r="AEP11" s="59"/>
      <c r="AEQ11" s="59"/>
      <c r="AER11" s="59"/>
      <c r="AES11" s="59"/>
      <c r="AET11" s="59"/>
      <c r="AEU11" s="59"/>
      <c r="AEV11" s="59"/>
      <c r="AEW11" s="59"/>
      <c r="AEX11" s="59"/>
      <c r="AEY11" s="59"/>
      <c r="AEZ11" s="59"/>
      <c r="AFA11" s="59"/>
      <c r="AFB11" s="59"/>
      <c r="AFC11" s="59"/>
      <c r="AFD11" s="59"/>
      <c r="AFE11" s="59"/>
      <c r="AFF11" s="59"/>
      <c r="AFG11" s="59"/>
      <c r="AFH11" s="59"/>
      <c r="AFI11" s="59"/>
      <c r="AFJ11" s="59"/>
      <c r="AFK11" s="59"/>
      <c r="AFL11" s="59"/>
      <c r="AFM11" s="59"/>
      <c r="AFN11" s="59"/>
      <c r="AFO11" s="59"/>
      <c r="AFP11" s="59"/>
      <c r="AFQ11" s="59"/>
      <c r="AFR11" s="59"/>
      <c r="AFS11" s="59"/>
      <c r="AFT11" s="59"/>
      <c r="AFU11" s="59"/>
      <c r="AFV11" s="59"/>
      <c r="AFW11" s="59"/>
      <c r="AFX11" s="59"/>
      <c r="AFY11" s="59"/>
      <c r="AFZ11" s="59"/>
      <c r="AGA11" s="59"/>
      <c r="AGB11" s="59"/>
      <c r="AGC11" s="59"/>
      <c r="AGD11" s="59"/>
      <c r="AGE11" s="59"/>
      <c r="AGF11" s="59"/>
      <c r="AGG11" s="59"/>
      <c r="AGH11" s="59"/>
      <c r="AGI11" s="59"/>
      <c r="AGJ11" s="59"/>
      <c r="AGK11" s="59"/>
      <c r="AGL11" s="59"/>
      <c r="AGM11" s="59"/>
      <c r="AGN11" s="59"/>
      <c r="AGO11" s="59"/>
      <c r="AGP11" s="59"/>
      <c r="AGQ11" s="59"/>
      <c r="AGR11" s="59"/>
      <c r="AGS11" s="59"/>
      <c r="AGT11" s="59"/>
      <c r="AGU11" s="59"/>
      <c r="AGV11" s="59"/>
      <c r="AGW11" s="59"/>
      <c r="AGX11" s="59"/>
      <c r="AGY11" s="59"/>
      <c r="AGZ11" s="59"/>
      <c r="AHA11" s="59"/>
      <c r="AHB11" s="59"/>
      <c r="AHC11" s="59"/>
      <c r="AHD11" s="59"/>
      <c r="AHE11" s="59"/>
      <c r="AHF11" s="59"/>
      <c r="AHG11" s="59"/>
      <c r="AHH11" s="59"/>
      <c r="AHI11" s="59"/>
      <c r="AHJ11" s="59"/>
      <c r="AHK11" s="59"/>
      <c r="AHL11" s="59"/>
      <c r="AHM11" s="59"/>
      <c r="AHN11" s="59"/>
      <c r="AHO11" s="59"/>
      <c r="AHP11" s="59"/>
      <c r="AHQ11" s="59"/>
      <c r="AHR11" s="59"/>
      <c r="AHS11" s="59"/>
      <c r="AHT11" s="59"/>
      <c r="AHU11" s="59"/>
      <c r="AHV11" s="59"/>
      <c r="AHW11" s="59"/>
      <c r="AHX11" s="59"/>
      <c r="AHY11" s="59"/>
      <c r="AHZ11" s="59"/>
      <c r="AIA11" s="59"/>
      <c r="AIB11" s="59"/>
      <c r="AIC11" s="59"/>
      <c r="AID11" s="59"/>
      <c r="AIE11" s="59"/>
      <c r="AIF11" s="59"/>
      <c r="AIG11" s="59"/>
      <c r="AIH11" s="59"/>
      <c r="AII11" s="59"/>
      <c r="AIJ11" s="59"/>
      <c r="AIK11" s="59"/>
      <c r="AIL11" s="59"/>
      <c r="AIM11" s="59"/>
      <c r="AIN11" s="59"/>
      <c r="AIO11" s="59"/>
      <c r="AIP11" s="59"/>
      <c r="AIQ11" s="59"/>
      <c r="AIR11" s="59"/>
      <c r="AIS11" s="59"/>
      <c r="AIT11" s="59"/>
      <c r="AIU11" s="59"/>
      <c r="AIV11" s="59"/>
      <c r="AIW11" s="59"/>
      <c r="AIX11" s="59"/>
      <c r="AIY11" s="59"/>
      <c r="AIZ11" s="59"/>
      <c r="AJA11" s="59"/>
      <c r="AJB11" s="59"/>
      <c r="AJC11" s="59"/>
      <c r="AJD11" s="59"/>
      <c r="AJE11" s="59"/>
      <c r="AJF11" s="59"/>
      <c r="AJG11" s="59"/>
      <c r="AJH11" s="59"/>
      <c r="AJI11" s="59"/>
      <c r="AJJ11" s="59"/>
      <c r="AJK11" s="59"/>
      <c r="AJL11" s="59"/>
      <c r="AJM11" s="59"/>
      <c r="AJN11" s="59"/>
      <c r="AJO11" s="59"/>
      <c r="AJP11" s="59"/>
      <c r="AJQ11" s="59"/>
      <c r="AJR11" s="59"/>
      <c r="AJS11" s="59"/>
      <c r="AJT11" s="59"/>
      <c r="AJU11" s="59"/>
      <c r="AJV11" s="59"/>
      <c r="AJW11" s="59"/>
      <c r="AJX11" s="59"/>
      <c r="AJY11" s="59"/>
      <c r="AJZ11" s="59"/>
      <c r="AKA11" s="59"/>
      <c r="AKB11" s="59"/>
      <c r="AKC11" s="59"/>
      <c r="AKD11" s="59"/>
      <c r="AKE11" s="59"/>
      <c r="AKF11" s="59"/>
      <c r="AKG11" s="59"/>
      <c r="AKH11" s="59"/>
      <c r="AKI11" s="59"/>
      <c r="AKJ11" s="59"/>
      <c r="AKK11" s="59"/>
      <c r="AKL11" s="59"/>
      <c r="AKM11" s="59"/>
      <c r="AKN11" s="59"/>
      <c r="AKO11" s="59"/>
      <c r="AKP11" s="59"/>
      <c r="AKQ11" s="59"/>
      <c r="AKR11" s="59"/>
      <c r="AKS11" s="59"/>
      <c r="AKT11" s="59"/>
      <c r="AKU11" s="59"/>
      <c r="AKV11" s="59"/>
      <c r="AKW11" s="59"/>
      <c r="AKX11" s="59"/>
      <c r="AKY11" s="59"/>
      <c r="AKZ11" s="59"/>
      <c r="ALA11" s="59"/>
      <c r="ALB11" s="59"/>
      <c r="ALC11" s="59"/>
      <c r="ALD11" s="59"/>
      <c r="ALE11" s="59"/>
      <c r="ALF11" s="59"/>
      <c r="ALG11" s="59"/>
      <c r="ALH11" s="59"/>
      <c r="ALI11" s="59"/>
      <c r="ALJ11" s="59"/>
      <c r="ALK11" s="59"/>
      <c r="ALL11" s="59"/>
      <c r="ALM11" s="59"/>
      <c r="ALN11" s="59"/>
      <c r="ALO11" s="59"/>
      <c r="ALP11" s="59"/>
      <c r="ALQ11" s="59"/>
      <c r="ALR11" s="59"/>
      <c r="ALS11" s="59"/>
      <c r="ALT11" s="59"/>
      <c r="ALU11" s="59"/>
      <c r="ALV11" s="59"/>
      <c r="ALW11" s="59"/>
      <c r="ALX11" s="59"/>
      <c r="ALY11" s="59"/>
      <c r="ALZ11" s="59"/>
      <c r="AMA11" s="59"/>
      <c r="AMB11" s="59"/>
      <c r="AMC11" s="59"/>
      <c r="AMD11" s="59"/>
      <c r="AME11" s="59"/>
      <c r="AMF11" s="59"/>
      <c r="AMG11" s="59"/>
      <c r="AMH11" s="59"/>
      <c r="AMI11" s="59"/>
      <c r="AMJ11" s="59"/>
    </row>
    <row r="12" spans="1:1024" s="62" customFormat="1" x14ac:dyDescent="0.25">
      <c r="A12" s="59" t="s">
        <v>22</v>
      </c>
      <c r="B12" s="59"/>
      <c r="C12" s="63">
        <f>(C10-B10)/C10</f>
        <v>-0.12421033632152097</v>
      </c>
      <c r="D12" s="63">
        <f>(D10-C10)/D10</f>
        <v>-0.22208742325649791</v>
      </c>
      <c r="E12" s="64">
        <f>(E10-D10)/E10</f>
        <v>0.49624979165509198</v>
      </c>
      <c r="F12" s="64">
        <f>(F10-E10)/F10</f>
        <v>0.23820205696872224</v>
      </c>
      <c r="G12" s="64">
        <f>(G10-F10)/G10</f>
        <v>0.28368299781712347</v>
      </c>
      <c r="H12" s="63">
        <f t="shared" ref="H12:J12" si="9">(H10-G10)/H10</f>
        <v>-5.7156898356872717E-2</v>
      </c>
      <c r="I12" s="64">
        <f t="shared" si="9"/>
        <v>9.9998076960058455E-2</v>
      </c>
      <c r="J12" s="63">
        <f t="shared" si="9"/>
        <v>-0.22065209736860636</v>
      </c>
      <c r="K12" s="63">
        <f t="shared" ref="K12" si="10">(K10-J10)/K10</f>
        <v>-2.4037883704718637E-2</v>
      </c>
      <c r="L12" s="88">
        <f t="shared" ref="L12" si="11">(L10-K10)/L10</f>
        <v>-3.3539539390325709E-2</v>
      </c>
      <c r="M12" s="63">
        <f t="shared" ref="M12:Q12" si="12">(M10-L10)/M10</f>
        <v>-0.19435625055636332</v>
      </c>
      <c r="N12" s="89">
        <f t="shared" si="12"/>
        <v>0.23072006574066675</v>
      </c>
      <c r="O12" s="88">
        <f t="shared" si="12"/>
        <v>-3.9051752763151655E-2</v>
      </c>
      <c r="P12" s="88">
        <f t="shared" si="12"/>
        <v>-0.18724392819429778</v>
      </c>
      <c r="Q12" s="88">
        <f t="shared" si="12"/>
        <v>-8.2863241347766431E-2</v>
      </c>
      <c r="R12" s="88">
        <f t="shared" ref="R12" si="13">(R10-Q10)/R10</f>
        <v>-4.3263877843168444E-2</v>
      </c>
      <c r="S12" s="88">
        <f t="shared" ref="S12" si="14">(S10-R10)/S10</f>
        <v>-6.5319714386346895E-3</v>
      </c>
      <c r="T12" s="88">
        <f t="shared" ref="T12" si="15">(T10-S10)/T10</f>
        <v>-0.15816213008974264</v>
      </c>
      <c r="U12" s="89">
        <f t="shared" ref="U12:V12" si="16">(U10-T10)/U10</f>
        <v>0.32527648501226042</v>
      </c>
      <c r="V12" s="89">
        <f t="shared" si="16"/>
        <v>-4.7162395849709167E-2</v>
      </c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/>
      <c r="IR12" s="59"/>
      <c r="IS12" s="59"/>
      <c r="IT12" s="59"/>
      <c r="IU12" s="59"/>
      <c r="IV12" s="59"/>
      <c r="IW12" s="59"/>
      <c r="IX12" s="59"/>
      <c r="IY12" s="59"/>
      <c r="IZ12" s="59"/>
      <c r="JA12" s="59"/>
      <c r="JB12" s="59"/>
      <c r="JC12" s="59"/>
      <c r="JD12" s="59"/>
      <c r="JE12" s="59"/>
      <c r="JF12" s="59"/>
      <c r="JG12" s="59"/>
      <c r="JH12" s="59"/>
      <c r="JI12" s="59"/>
      <c r="JJ12" s="59"/>
      <c r="JK12" s="59"/>
      <c r="JL12" s="59"/>
      <c r="JM12" s="59"/>
      <c r="JN12" s="59"/>
      <c r="JO12" s="59"/>
      <c r="JP12" s="59"/>
      <c r="JQ12" s="59"/>
      <c r="JR12" s="59"/>
      <c r="JS12" s="59"/>
      <c r="JT12" s="59"/>
      <c r="JU12" s="59"/>
      <c r="JV12" s="59"/>
      <c r="JW12" s="59"/>
      <c r="JX12" s="59"/>
      <c r="JY12" s="59"/>
      <c r="JZ12" s="59"/>
      <c r="KA12" s="59"/>
      <c r="KB12" s="59"/>
      <c r="KC12" s="59"/>
      <c r="KD12" s="59"/>
      <c r="KE12" s="59"/>
      <c r="KF12" s="59"/>
      <c r="KG12" s="59"/>
      <c r="KH12" s="59"/>
      <c r="KI12" s="59"/>
      <c r="KJ12" s="59"/>
      <c r="KK12" s="59"/>
      <c r="KL12" s="59"/>
      <c r="KM12" s="59"/>
      <c r="KN12" s="59"/>
      <c r="KO12" s="59"/>
      <c r="KP12" s="59"/>
      <c r="KQ12" s="59"/>
      <c r="KR12" s="59"/>
      <c r="KS12" s="59"/>
      <c r="KT12" s="59"/>
      <c r="KU12" s="59"/>
      <c r="KV12" s="59"/>
      <c r="KW12" s="59"/>
      <c r="KX12" s="59"/>
      <c r="KY12" s="59"/>
      <c r="KZ12" s="59"/>
      <c r="LA12" s="59"/>
      <c r="LB12" s="59"/>
      <c r="LC12" s="59"/>
      <c r="LD12" s="59"/>
      <c r="LE12" s="59"/>
      <c r="LF12" s="59"/>
      <c r="LG12" s="59"/>
      <c r="LH12" s="59"/>
      <c r="LI12" s="59"/>
      <c r="LJ12" s="59"/>
      <c r="LK12" s="59"/>
      <c r="LL12" s="59"/>
      <c r="LM12" s="59"/>
      <c r="LN12" s="59"/>
      <c r="LO12" s="59"/>
      <c r="LP12" s="59"/>
      <c r="LQ12" s="59"/>
      <c r="LR12" s="59"/>
      <c r="LS12" s="59"/>
      <c r="LT12" s="59"/>
      <c r="LU12" s="59"/>
      <c r="LV12" s="59"/>
      <c r="LW12" s="59"/>
      <c r="LX12" s="59"/>
      <c r="LY12" s="59"/>
      <c r="LZ12" s="59"/>
      <c r="MA12" s="59"/>
      <c r="MB12" s="59"/>
      <c r="MC12" s="59"/>
      <c r="MD12" s="59"/>
      <c r="ME12" s="59"/>
      <c r="MF12" s="59"/>
      <c r="MG12" s="59"/>
      <c r="MH12" s="59"/>
      <c r="MI12" s="59"/>
      <c r="MJ12" s="59"/>
      <c r="MK12" s="59"/>
      <c r="ML12" s="59"/>
      <c r="MM12" s="59"/>
      <c r="MN12" s="59"/>
      <c r="MO12" s="59"/>
      <c r="MP12" s="59"/>
      <c r="MQ12" s="59"/>
      <c r="MR12" s="59"/>
      <c r="MS12" s="59"/>
      <c r="MT12" s="59"/>
      <c r="MU12" s="59"/>
      <c r="MV12" s="59"/>
      <c r="MW12" s="59"/>
      <c r="MX12" s="59"/>
      <c r="MY12" s="59"/>
      <c r="MZ12" s="59"/>
      <c r="NA12" s="59"/>
      <c r="NB12" s="59"/>
      <c r="NC12" s="59"/>
      <c r="ND12" s="59"/>
      <c r="NE12" s="59"/>
      <c r="NF12" s="59"/>
      <c r="NG12" s="59"/>
      <c r="NH12" s="59"/>
      <c r="NI12" s="59"/>
      <c r="NJ12" s="59"/>
      <c r="NK12" s="59"/>
      <c r="NL12" s="59"/>
      <c r="NM12" s="59"/>
      <c r="NN12" s="59"/>
      <c r="NO12" s="59"/>
      <c r="NP12" s="59"/>
      <c r="NQ12" s="59"/>
      <c r="NR12" s="59"/>
      <c r="NS12" s="59"/>
      <c r="NT12" s="59"/>
      <c r="NU12" s="59"/>
      <c r="NV12" s="59"/>
      <c r="NW12" s="59"/>
      <c r="NX12" s="59"/>
      <c r="NY12" s="59"/>
      <c r="NZ12" s="59"/>
      <c r="OA12" s="59"/>
      <c r="OB12" s="59"/>
      <c r="OC12" s="59"/>
      <c r="OD12" s="59"/>
      <c r="OE12" s="59"/>
      <c r="OF12" s="59"/>
      <c r="OG12" s="59"/>
      <c r="OH12" s="59"/>
      <c r="OI12" s="59"/>
      <c r="OJ12" s="59"/>
      <c r="OK12" s="59"/>
      <c r="OL12" s="59"/>
      <c r="OM12" s="59"/>
      <c r="ON12" s="59"/>
      <c r="OO12" s="59"/>
      <c r="OP12" s="59"/>
      <c r="OQ12" s="59"/>
      <c r="OR12" s="59"/>
      <c r="OS12" s="59"/>
      <c r="OT12" s="59"/>
      <c r="OU12" s="59"/>
      <c r="OV12" s="59"/>
      <c r="OW12" s="59"/>
      <c r="OX12" s="59"/>
      <c r="OY12" s="59"/>
      <c r="OZ12" s="59"/>
      <c r="PA12" s="59"/>
      <c r="PB12" s="59"/>
      <c r="PC12" s="59"/>
      <c r="PD12" s="59"/>
      <c r="PE12" s="59"/>
      <c r="PF12" s="59"/>
      <c r="PG12" s="59"/>
      <c r="PH12" s="59"/>
      <c r="PI12" s="59"/>
      <c r="PJ12" s="59"/>
      <c r="PK12" s="59"/>
      <c r="PL12" s="59"/>
      <c r="PM12" s="59"/>
      <c r="PN12" s="59"/>
      <c r="PO12" s="59"/>
      <c r="PP12" s="59"/>
      <c r="PQ12" s="59"/>
      <c r="PR12" s="59"/>
      <c r="PS12" s="59"/>
      <c r="PT12" s="59"/>
      <c r="PU12" s="59"/>
      <c r="PV12" s="59"/>
      <c r="PW12" s="59"/>
      <c r="PX12" s="59"/>
      <c r="PY12" s="59"/>
      <c r="PZ12" s="59"/>
      <c r="QA12" s="59"/>
      <c r="QB12" s="59"/>
      <c r="QC12" s="59"/>
      <c r="QD12" s="59"/>
      <c r="QE12" s="59"/>
      <c r="QF12" s="59"/>
      <c r="QG12" s="59"/>
      <c r="QH12" s="59"/>
      <c r="QI12" s="59"/>
      <c r="QJ12" s="59"/>
      <c r="QK12" s="59"/>
      <c r="QL12" s="59"/>
      <c r="QM12" s="59"/>
      <c r="QN12" s="59"/>
      <c r="QO12" s="59"/>
      <c r="QP12" s="59"/>
      <c r="QQ12" s="59"/>
      <c r="QR12" s="59"/>
      <c r="QS12" s="59"/>
      <c r="QT12" s="59"/>
      <c r="QU12" s="59"/>
      <c r="QV12" s="59"/>
      <c r="QW12" s="59"/>
      <c r="QX12" s="59"/>
      <c r="QY12" s="59"/>
      <c r="QZ12" s="59"/>
      <c r="RA12" s="59"/>
      <c r="RB12" s="59"/>
      <c r="RC12" s="59"/>
      <c r="RD12" s="59"/>
      <c r="RE12" s="59"/>
      <c r="RF12" s="59"/>
      <c r="RG12" s="59"/>
      <c r="RH12" s="59"/>
      <c r="RI12" s="59"/>
      <c r="RJ12" s="59"/>
      <c r="RK12" s="59"/>
      <c r="RL12" s="59"/>
      <c r="RM12" s="59"/>
      <c r="RN12" s="59"/>
      <c r="RO12" s="59"/>
      <c r="RP12" s="59"/>
      <c r="RQ12" s="59"/>
      <c r="RR12" s="59"/>
      <c r="RS12" s="59"/>
      <c r="RT12" s="59"/>
      <c r="RU12" s="59"/>
      <c r="RV12" s="59"/>
      <c r="RW12" s="59"/>
      <c r="RX12" s="59"/>
      <c r="RY12" s="59"/>
      <c r="RZ12" s="59"/>
      <c r="SA12" s="59"/>
      <c r="SB12" s="59"/>
      <c r="SC12" s="59"/>
      <c r="SD12" s="59"/>
      <c r="SE12" s="59"/>
      <c r="SF12" s="59"/>
      <c r="SG12" s="59"/>
      <c r="SH12" s="59"/>
      <c r="SI12" s="59"/>
      <c r="SJ12" s="59"/>
      <c r="SK12" s="59"/>
      <c r="SL12" s="59"/>
      <c r="SM12" s="59"/>
      <c r="SN12" s="59"/>
      <c r="SO12" s="59"/>
      <c r="SP12" s="59"/>
      <c r="SQ12" s="59"/>
      <c r="SR12" s="59"/>
      <c r="SS12" s="59"/>
      <c r="ST12" s="59"/>
      <c r="SU12" s="59"/>
      <c r="SV12" s="59"/>
      <c r="SW12" s="59"/>
      <c r="SX12" s="59"/>
      <c r="SY12" s="59"/>
      <c r="SZ12" s="59"/>
      <c r="TA12" s="59"/>
      <c r="TB12" s="59"/>
      <c r="TC12" s="59"/>
      <c r="TD12" s="59"/>
      <c r="TE12" s="59"/>
      <c r="TF12" s="59"/>
      <c r="TG12" s="59"/>
      <c r="TH12" s="59"/>
      <c r="TI12" s="59"/>
      <c r="TJ12" s="59"/>
      <c r="TK12" s="59"/>
      <c r="TL12" s="59"/>
      <c r="TM12" s="59"/>
      <c r="TN12" s="59"/>
      <c r="TO12" s="59"/>
      <c r="TP12" s="59"/>
      <c r="TQ12" s="59"/>
      <c r="TR12" s="59"/>
      <c r="TS12" s="59"/>
      <c r="TT12" s="59"/>
      <c r="TU12" s="59"/>
      <c r="TV12" s="59"/>
      <c r="TW12" s="59"/>
      <c r="TX12" s="59"/>
      <c r="TY12" s="59"/>
      <c r="TZ12" s="59"/>
      <c r="UA12" s="59"/>
      <c r="UB12" s="59"/>
      <c r="UC12" s="59"/>
      <c r="UD12" s="59"/>
      <c r="UE12" s="59"/>
      <c r="UF12" s="59"/>
      <c r="UG12" s="59"/>
      <c r="UH12" s="59"/>
      <c r="UI12" s="59"/>
      <c r="UJ12" s="59"/>
      <c r="UK12" s="59"/>
      <c r="UL12" s="59"/>
      <c r="UM12" s="59"/>
      <c r="UN12" s="59"/>
      <c r="UO12" s="59"/>
      <c r="UP12" s="59"/>
      <c r="UQ12" s="59"/>
      <c r="UR12" s="59"/>
      <c r="US12" s="59"/>
      <c r="UT12" s="59"/>
      <c r="UU12" s="59"/>
      <c r="UV12" s="59"/>
      <c r="UW12" s="59"/>
      <c r="UX12" s="59"/>
      <c r="UY12" s="59"/>
      <c r="UZ12" s="59"/>
      <c r="VA12" s="59"/>
      <c r="VB12" s="59"/>
      <c r="VC12" s="59"/>
      <c r="VD12" s="59"/>
      <c r="VE12" s="59"/>
      <c r="VF12" s="59"/>
      <c r="VG12" s="59"/>
      <c r="VH12" s="59"/>
      <c r="VI12" s="59"/>
      <c r="VJ12" s="59"/>
      <c r="VK12" s="59"/>
      <c r="VL12" s="59"/>
      <c r="VM12" s="59"/>
      <c r="VN12" s="59"/>
      <c r="VO12" s="59"/>
      <c r="VP12" s="59"/>
      <c r="VQ12" s="59"/>
      <c r="VR12" s="59"/>
      <c r="VS12" s="59"/>
      <c r="VT12" s="59"/>
      <c r="VU12" s="59"/>
      <c r="VV12" s="59"/>
      <c r="VW12" s="59"/>
      <c r="VX12" s="59"/>
      <c r="VY12" s="59"/>
      <c r="VZ12" s="59"/>
      <c r="WA12" s="59"/>
      <c r="WB12" s="59"/>
      <c r="WC12" s="59"/>
      <c r="WD12" s="59"/>
      <c r="WE12" s="59"/>
      <c r="WF12" s="59"/>
      <c r="WG12" s="59"/>
      <c r="WH12" s="59"/>
      <c r="WI12" s="59"/>
      <c r="WJ12" s="59"/>
      <c r="WK12" s="59"/>
      <c r="WL12" s="59"/>
      <c r="WM12" s="59"/>
      <c r="WN12" s="59"/>
      <c r="WO12" s="59"/>
      <c r="WP12" s="59"/>
      <c r="WQ12" s="59"/>
      <c r="WR12" s="59"/>
      <c r="WS12" s="59"/>
      <c r="WT12" s="59"/>
      <c r="WU12" s="59"/>
      <c r="WV12" s="59"/>
      <c r="WW12" s="59"/>
      <c r="WX12" s="59"/>
      <c r="WY12" s="59"/>
      <c r="WZ12" s="59"/>
      <c r="XA12" s="59"/>
      <c r="XB12" s="59"/>
      <c r="XC12" s="59"/>
      <c r="XD12" s="59"/>
      <c r="XE12" s="59"/>
      <c r="XF12" s="59"/>
      <c r="XG12" s="59"/>
      <c r="XH12" s="59"/>
      <c r="XI12" s="59"/>
      <c r="XJ12" s="59"/>
      <c r="XK12" s="59"/>
      <c r="XL12" s="59"/>
      <c r="XM12" s="59"/>
      <c r="XN12" s="59"/>
      <c r="XO12" s="59"/>
      <c r="XP12" s="59"/>
      <c r="XQ12" s="59"/>
      <c r="XR12" s="59"/>
      <c r="XS12" s="59"/>
      <c r="XT12" s="59"/>
      <c r="XU12" s="59"/>
      <c r="XV12" s="59"/>
      <c r="XW12" s="59"/>
      <c r="XX12" s="59"/>
      <c r="XY12" s="59"/>
      <c r="XZ12" s="59"/>
      <c r="YA12" s="59"/>
      <c r="YB12" s="59"/>
      <c r="YC12" s="59"/>
      <c r="YD12" s="59"/>
      <c r="YE12" s="59"/>
      <c r="YF12" s="59"/>
      <c r="YG12" s="59"/>
      <c r="YH12" s="59"/>
      <c r="YI12" s="59"/>
      <c r="YJ12" s="59"/>
      <c r="YK12" s="59"/>
      <c r="YL12" s="59"/>
      <c r="YM12" s="59"/>
      <c r="YN12" s="59"/>
      <c r="YO12" s="59"/>
      <c r="YP12" s="59"/>
      <c r="YQ12" s="59"/>
      <c r="YR12" s="59"/>
      <c r="YS12" s="59"/>
      <c r="YT12" s="59"/>
      <c r="YU12" s="59"/>
      <c r="YV12" s="59"/>
      <c r="YW12" s="59"/>
      <c r="YX12" s="59"/>
      <c r="YY12" s="59"/>
      <c r="YZ12" s="59"/>
      <c r="ZA12" s="59"/>
      <c r="ZB12" s="59"/>
      <c r="ZC12" s="59"/>
      <c r="ZD12" s="59"/>
      <c r="ZE12" s="59"/>
      <c r="ZF12" s="59"/>
      <c r="ZG12" s="59"/>
      <c r="ZH12" s="59"/>
      <c r="ZI12" s="59"/>
      <c r="ZJ12" s="59"/>
      <c r="ZK12" s="59"/>
      <c r="ZL12" s="59"/>
      <c r="ZM12" s="59"/>
      <c r="ZN12" s="59"/>
      <c r="ZO12" s="59"/>
      <c r="ZP12" s="59"/>
      <c r="ZQ12" s="59"/>
      <c r="ZR12" s="59"/>
      <c r="ZS12" s="59"/>
      <c r="ZT12" s="59"/>
      <c r="ZU12" s="59"/>
      <c r="ZV12" s="59"/>
      <c r="ZW12" s="59"/>
      <c r="ZX12" s="59"/>
      <c r="ZY12" s="59"/>
      <c r="ZZ12" s="59"/>
      <c r="AAA12" s="59"/>
      <c r="AAB12" s="59"/>
      <c r="AAC12" s="59"/>
      <c r="AAD12" s="59"/>
      <c r="AAE12" s="59"/>
      <c r="AAF12" s="59"/>
      <c r="AAG12" s="59"/>
      <c r="AAH12" s="59"/>
      <c r="AAI12" s="59"/>
      <c r="AAJ12" s="59"/>
      <c r="AAK12" s="59"/>
      <c r="AAL12" s="59"/>
      <c r="AAM12" s="59"/>
      <c r="AAN12" s="59"/>
      <c r="AAO12" s="59"/>
      <c r="AAP12" s="59"/>
      <c r="AAQ12" s="59"/>
      <c r="AAR12" s="59"/>
      <c r="AAS12" s="59"/>
      <c r="AAT12" s="59"/>
      <c r="AAU12" s="59"/>
      <c r="AAV12" s="59"/>
      <c r="AAW12" s="59"/>
      <c r="AAX12" s="59"/>
      <c r="AAY12" s="59"/>
      <c r="AAZ12" s="59"/>
      <c r="ABA12" s="59"/>
      <c r="ABB12" s="59"/>
      <c r="ABC12" s="59"/>
      <c r="ABD12" s="59"/>
      <c r="ABE12" s="59"/>
      <c r="ABF12" s="59"/>
      <c r="ABG12" s="59"/>
      <c r="ABH12" s="59"/>
      <c r="ABI12" s="59"/>
      <c r="ABJ12" s="59"/>
      <c r="ABK12" s="59"/>
      <c r="ABL12" s="59"/>
      <c r="ABM12" s="59"/>
      <c r="ABN12" s="59"/>
      <c r="ABO12" s="59"/>
      <c r="ABP12" s="59"/>
      <c r="ABQ12" s="59"/>
      <c r="ABR12" s="59"/>
      <c r="ABS12" s="59"/>
      <c r="ABT12" s="59"/>
      <c r="ABU12" s="59"/>
      <c r="ABV12" s="59"/>
      <c r="ABW12" s="59"/>
      <c r="ABX12" s="59"/>
      <c r="ABY12" s="59"/>
      <c r="ABZ12" s="59"/>
      <c r="ACA12" s="59"/>
      <c r="ACB12" s="59"/>
      <c r="ACC12" s="59"/>
      <c r="ACD12" s="59"/>
      <c r="ACE12" s="59"/>
      <c r="ACF12" s="59"/>
      <c r="ACG12" s="59"/>
      <c r="ACH12" s="59"/>
      <c r="ACI12" s="59"/>
      <c r="ACJ12" s="59"/>
      <c r="ACK12" s="59"/>
      <c r="ACL12" s="59"/>
      <c r="ACM12" s="59"/>
      <c r="ACN12" s="59"/>
      <c r="ACO12" s="59"/>
      <c r="ACP12" s="59"/>
      <c r="ACQ12" s="59"/>
      <c r="ACR12" s="59"/>
      <c r="ACS12" s="59"/>
      <c r="ACT12" s="59"/>
      <c r="ACU12" s="59"/>
      <c r="ACV12" s="59"/>
      <c r="ACW12" s="59"/>
      <c r="ACX12" s="59"/>
      <c r="ACY12" s="59"/>
      <c r="ACZ12" s="59"/>
      <c r="ADA12" s="59"/>
      <c r="ADB12" s="59"/>
      <c r="ADC12" s="59"/>
      <c r="ADD12" s="59"/>
      <c r="ADE12" s="59"/>
      <c r="ADF12" s="59"/>
      <c r="ADG12" s="59"/>
      <c r="ADH12" s="59"/>
      <c r="ADI12" s="59"/>
      <c r="ADJ12" s="59"/>
      <c r="ADK12" s="59"/>
      <c r="ADL12" s="59"/>
      <c r="ADM12" s="59"/>
      <c r="ADN12" s="59"/>
      <c r="ADO12" s="59"/>
      <c r="ADP12" s="59"/>
      <c r="ADQ12" s="59"/>
      <c r="ADR12" s="59"/>
      <c r="ADS12" s="59"/>
      <c r="ADT12" s="59"/>
      <c r="ADU12" s="59"/>
      <c r="ADV12" s="59"/>
      <c r="ADW12" s="59"/>
      <c r="ADX12" s="59"/>
      <c r="ADY12" s="59"/>
      <c r="ADZ12" s="59"/>
      <c r="AEA12" s="59"/>
      <c r="AEB12" s="59"/>
      <c r="AEC12" s="59"/>
      <c r="AED12" s="59"/>
      <c r="AEE12" s="59"/>
      <c r="AEF12" s="59"/>
      <c r="AEG12" s="59"/>
      <c r="AEH12" s="59"/>
      <c r="AEI12" s="59"/>
      <c r="AEJ12" s="59"/>
      <c r="AEK12" s="59"/>
      <c r="AEL12" s="59"/>
      <c r="AEM12" s="59"/>
      <c r="AEN12" s="59"/>
      <c r="AEO12" s="59"/>
      <c r="AEP12" s="59"/>
      <c r="AEQ12" s="59"/>
      <c r="AER12" s="59"/>
      <c r="AES12" s="59"/>
      <c r="AET12" s="59"/>
      <c r="AEU12" s="59"/>
      <c r="AEV12" s="59"/>
      <c r="AEW12" s="59"/>
      <c r="AEX12" s="59"/>
      <c r="AEY12" s="59"/>
      <c r="AEZ12" s="59"/>
      <c r="AFA12" s="59"/>
      <c r="AFB12" s="59"/>
      <c r="AFC12" s="59"/>
      <c r="AFD12" s="59"/>
      <c r="AFE12" s="59"/>
      <c r="AFF12" s="59"/>
      <c r="AFG12" s="59"/>
      <c r="AFH12" s="59"/>
      <c r="AFI12" s="59"/>
      <c r="AFJ12" s="59"/>
      <c r="AFK12" s="59"/>
      <c r="AFL12" s="59"/>
      <c r="AFM12" s="59"/>
      <c r="AFN12" s="59"/>
      <c r="AFO12" s="59"/>
      <c r="AFP12" s="59"/>
      <c r="AFQ12" s="59"/>
      <c r="AFR12" s="59"/>
      <c r="AFS12" s="59"/>
      <c r="AFT12" s="59"/>
      <c r="AFU12" s="59"/>
      <c r="AFV12" s="59"/>
      <c r="AFW12" s="59"/>
      <c r="AFX12" s="59"/>
      <c r="AFY12" s="59"/>
      <c r="AFZ12" s="59"/>
      <c r="AGA12" s="59"/>
      <c r="AGB12" s="59"/>
      <c r="AGC12" s="59"/>
      <c r="AGD12" s="59"/>
      <c r="AGE12" s="59"/>
      <c r="AGF12" s="59"/>
      <c r="AGG12" s="59"/>
      <c r="AGH12" s="59"/>
      <c r="AGI12" s="59"/>
      <c r="AGJ12" s="59"/>
      <c r="AGK12" s="59"/>
      <c r="AGL12" s="59"/>
      <c r="AGM12" s="59"/>
      <c r="AGN12" s="59"/>
      <c r="AGO12" s="59"/>
      <c r="AGP12" s="59"/>
      <c r="AGQ12" s="59"/>
      <c r="AGR12" s="59"/>
      <c r="AGS12" s="59"/>
      <c r="AGT12" s="59"/>
      <c r="AGU12" s="59"/>
      <c r="AGV12" s="59"/>
      <c r="AGW12" s="59"/>
      <c r="AGX12" s="59"/>
      <c r="AGY12" s="59"/>
      <c r="AGZ12" s="59"/>
      <c r="AHA12" s="59"/>
      <c r="AHB12" s="59"/>
      <c r="AHC12" s="59"/>
      <c r="AHD12" s="59"/>
      <c r="AHE12" s="59"/>
      <c r="AHF12" s="59"/>
      <c r="AHG12" s="59"/>
      <c r="AHH12" s="59"/>
      <c r="AHI12" s="59"/>
      <c r="AHJ12" s="59"/>
      <c r="AHK12" s="59"/>
      <c r="AHL12" s="59"/>
      <c r="AHM12" s="59"/>
      <c r="AHN12" s="59"/>
      <c r="AHO12" s="59"/>
      <c r="AHP12" s="59"/>
      <c r="AHQ12" s="59"/>
      <c r="AHR12" s="59"/>
      <c r="AHS12" s="59"/>
      <c r="AHT12" s="59"/>
      <c r="AHU12" s="59"/>
      <c r="AHV12" s="59"/>
      <c r="AHW12" s="59"/>
      <c r="AHX12" s="59"/>
      <c r="AHY12" s="59"/>
      <c r="AHZ12" s="59"/>
      <c r="AIA12" s="59"/>
      <c r="AIB12" s="59"/>
      <c r="AIC12" s="59"/>
      <c r="AID12" s="59"/>
      <c r="AIE12" s="59"/>
      <c r="AIF12" s="59"/>
      <c r="AIG12" s="59"/>
      <c r="AIH12" s="59"/>
      <c r="AII12" s="59"/>
      <c r="AIJ12" s="59"/>
      <c r="AIK12" s="59"/>
      <c r="AIL12" s="59"/>
      <c r="AIM12" s="59"/>
      <c r="AIN12" s="59"/>
      <c r="AIO12" s="59"/>
      <c r="AIP12" s="59"/>
      <c r="AIQ12" s="59"/>
      <c r="AIR12" s="59"/>
      <c r="AIS12" s="59"/>
      <c r="AIT12" s="59"/>
      <c r="AIU12" s="59"/>
      <c r="AIV12" s="59"/>
      <c r="AIW12" s="59"/>
      <c r="AIX12" s="59"/>
      <c r="AIY12" s="59"/>
      <c r="AIZ12" s="59"/>
      <c r="AJA12" s="59"/>
      <c r="AJB12" s="59"/>
      <c r="AJC12" s="59"/>
      <c r="AJD12" s="59"/>
      <c r="AJE12" s="59"/>
      <c r="AJF12" s="59"/>
      <c r="AJG12" s="59"/>
      <c r="AJH12" s="59"/>
      <c r="AJI12" s="59"/>
      <c r="AJJ12" s="59"/>
      <c r="AJK12" s="59"/>
      <c r="AJL12" s="59"/>
      <c r="AJM12" s="59"/>
      <c r="AJN12" s="59"/>
      <c r="AJO12" s="59"/>
      <c r="AJP12" s="59"/>
      <c r="AJQ12" s="59"/>
      <c r="AJR12" s="59"/>
      <c r="AJS12" s="59"/>
      <c r="AJT12" s="59"/>
      <c r="AJU12" s="59"/>
      <c r="AJV12" s="59"/>
      <c r="AJW12" s="59"/>
      <c r="AJX12" s="59"/>
      <c r="AJY12" s="59"/>
      <c r="AJZ12" s="59"/>
      <c r="AKA12" s="59"/>
      <c r="AKB12" s="59"/>
      <c r="AKC12" s="59"/>
      <c r="AKD12" s="59"/>
      <c r="AKE12" s="59"/>
      <c r="AKF12" s="59"/>
      <c r="AKG12" s="59"/>
      <c r="AKH12" s="59"/>
      <c r="AKI12" s="59"/>
      <c r="AKJ12" s="59"/>
      <c r="AKK12" s="59"/>
      <c r="AKL12" s="59"/>
      <c r="AKM12" s="59"/>
      <c r="AKN12" s="59"/>
      <c r="AKO12" s="59"/>
      <c r="AKP12" s="59"/>
      <c r="AKQ12" s="59"/>
      <c r="AKR12" s="59"/>
      <c r="AKS12" s="59"/>
      <c r="AKT12" s="59"/>
      <c r="AKU12" s="59"/>
      <c r="AKV12" s="59"/>
      <c r="AKW12" s="59"/>
      <c r="AKX12" s="59"/>
      <c r="AKY12" s="59"/>
      <c r="AKZ12" s="59"/>
      <c r="ALA12" s="59"/>
      <c r="ALB12" s="59"/>
      <c r="ALC12" s="59"/>
      <c r="ALD12" s="59"/>
      <c r="ALE12" s="59"/>
      <c r="ALF12" s="59"/>
      <c r="ALG12" s="59"/>
      <c r="ALH12" s="59"/>
      <c r="ALI12" s="59"/>
      <c r="ALJ12" s="59"/>
      <c r="ALK12" s="59"/>
      <c r="ALL12" s="59"/>
      <c r="ALM12" s="59"/>
      <c r="ALN12" s="59"/>
      <c r="ALO12" s="59"/>
      <c r="ALP12" s="59"/>
      <c r="ALQ12" s="59"/>
      <c r="ALR12" s="59"/>
      <c r="ALS12" s="59"/>
      <c r="ALT12" s="59"/>
      <c r="ALU12" s="59"/>
      <c r="ALV12" s="59"/>
      <c r="ALW12" s="59"/>
      <c r="ALX12" s="59"/>
      <c r="ALY12" s="59"/>
      <c r="ALZ12" s="59"/>
      <c r="AMA12" s="59"/>
      <c r="AMB12" s="59"/>
      <c r="AMC12" s="59"/>
      <c r="AMD12" s="59"/>
      <c r="AME12" s="59"/>
      <c r="AMF12" s="59"/>
      <c r="AMG12" s="59"/>
      <c r="AMH12" s="59"/>
      <c r="AMI12" s="59"/>
      <c r="AMJ12" s="59"/>
    </row>
    <row r="14" spans="1:1024" x14ac:dyDescent="0.25">
      <c r="A14" s="1" t="s">
        <v>88</v>
      </c>
      <c r="B14" s="54">
        <v>6000</v>
      </c>
    </row>
  </sheetData>
  <pageMargins left="0.70000000000000007" right="0.70000000000000007" top="1.5374015748031495" bottom="1.5374015748031495" header="1.1437007874015748" footer="1.1437007874015748"/>
  <pageSetup fitToWidth="0" fitToHeight="0" orientation="portrait" r:id="rId1"/>
  <headerFooter alignWithMargins="0"/>
  <ignoredErrors>
    <ignoredError sqref="D10:F10" formulaRange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62C9-02C6-4A5E-90E2-55334D950FA1}">
  <dimension ref="A1:AMJ34"/>
  <sheetViews>
    <sheetView workbookViewId="0">
      <selection activeCell="J31" sqref="J31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v>24399</v>
      </c>
      <c r="C2" s="33" t="s">
        <v>24</v>
      </c>
      <c r="D2" s="32">
        <f>2650+18797+1322</f>
        <v>22769</v>
      </c>
      <c r="F2" s="18">
        <f>B2+D2</f>
        <v>47168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109</v>
      </c>
      <c r="C3" s="86" t="s">
        <v>3</v>
      </c>
      <c r="D3" s="71">
        <v>235</v>
      </c>
      <c r="F3" s="47">
        <f>(F2-'25e Juni'!F2)/F2</f>
        <v>-0.1268868724559023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277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436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1400</v>
      </c>
      <c r="C6" s="22" t="s">
        <v>11</v>
      </c>
      <c r="D6" s="16">
        <v>1661</v>
      </c>
      <c r="F6" s="18">
        <f>D20+B20</f>
        <v>32653</v>
      </c>
      <c r="H6" s="18">
        <f>F2-F6</f>
        <v>14515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500</v>
      </c>
      <c r="C7" s="22" t="s">
        <v>27</v>
      </c>
      <c r="D7" s="16">
        <v>7000</v>
      </c>
      <c r="F7" s="48">
        <f>(F6-'25e Juni'!F6)/F6</f>
        <v>-0.19214161026551924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343</v>
      </c>
      <c r="C8" s="22" t="s">
        <v>12</v>
      </c>
      <c r="D8" s="16">
        <v>0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385</v>
      </c>
      <c r="C9" s="22" t="s">
        <v>31</v>
      </c>
      <c r="D9" s="16">
        <v>1107</v>
      </c>
      <c r="F9" s="85">
        <f>F6-(('25e Januari'!F6+'25e Februari'!F6+'25e Mars'!F6+'25e April'!F6+'25e Maj'!F6+'25e Juni'!F6)/6)</f>
        <v>-1184.5400000000009</v>
      </c>
      <c r="H9" s="18">
        <f>H6/2</f>
        <v>7257.5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1260</v>
      </c>
      <c r="C11" s="22" t="s">
        <v>8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87</v>
      </c>
      <c r="C12" s="38" t="s">
        <v>64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65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13737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159</v>
      </c>
      <c r="C15" s="22" t="s">
        <v>34</v>
      </c>
      <c r="D15" s="16">
        <v>1000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36</v>
      </c>
      <c r="B16" s="77">
        <v>0</v>
      </c>
      <c r="C16" s="19" t="s">
        <v>78</v>
      </c>
      <c r="D16" s="16">
        <v>0</v>
      </c>
      <c r="M16" s="24"/>
      <c r="N16" s="24"/>
      <c r="O16" s="24"/>
      <c r="P16" s="24"/>
      <c r="Q16" s="24"/>
      <c r="R16" s="24"/>
    </row>
    <row r="17" spans="1:18" x14ac:dyDescent="0.2">
      <c r="A17" s="21" t="s">
        <v>7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12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SUM(B3:B18)</f>
        <v>18833</v>
      </c>
      <c r="C20" s="15" t="s">
        <v>39</v>
      </c>
      <c r="D20" s="14">
        <f>SUM(D3:D16)</f>
        <v>13820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145</v>
      </c>
      <c r="C22" s="19" t="s">
        <v>83</v>
      </c>
      <c r="D22" s="16">
        <v>5000</v>
      </c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45</v>
      </c>
      <c r="B23" s="77">
        <v>934</v>
      </c>
      <c r="C23" s="19" t="s">
        <v>12</v>
      </c>
      <c r="D23" s="16">
        <f>100+150+200</f>
        <v>450</v>
      </c>
      <c r="H23" s="24"/>
      <c r="I23" s="24"/>
    </row>
    <row r="24" spans="1:18" s="17" customFormat="1" ht="15" x14ac:dyDescent="0.25">
      <c r="A24" s="78" t="s">
        <v>83</v>
      </c>
      <c r="B24" s="83">
        <v>2000</v>
      </c>
      <c r="C24" s="50"/>
      <c r="H24" s="75"/>
      <c r="I24" s="76"/>
    </row>
    <row r="25" spans="1:18" s="17" customFormat="1" ht="15" x14ac:dyDescent="0.25">
      <c r="A25" s="78" t="s">
        <v>84</v>
      </c>
      <c r="B25" s="83">
        <v>2000</v>
      </c>
      <c r="C25" s="38"/>
      <c r="D25" s="16"/>
      <c r="H25" s="74"/>
      <c r="I25" s="76"/>
    </row>
    <row r="26" spans="1:18" s="17" customFormat="1" x14ac:dyDescent="0.2">
      <c r="A26"/>
      <c r="B26" s="46"/>
      <c r="C26" s="19"/>
      <c r="D26" s="16"/>
      <c r="H26" s="24"/>
      <c r="I26" s="24"/>
    </row>
    <row r="27" spans="1:18" s="17" customFormat="1" x14ac:dyDescent="0.2">
      <c r="A27"/>
      <c r="B27" s="46"/>
      <c r="C27" s="19"/>
      <c r="D27" s="16"/>
    </row>
    <row r="28" spans="1:18" s="17" customFormat="1" x14ac:dyDescent="0.2">
      <c r="A28"/>
      <c r="B28" s="46"/>
      <c r="C28" s="19"/>
      <c r="D28" s="16"/>
    </row>
    <row r="29" spans="1:18" s="17" customFormat="1" ht="15" x14ac:dyDescent="0.25">
      <c r="A29" s="13" t="s">
        <v>49</v>
      </c>
      <c r="B29" s="82">
        <f>SUM(B21:B26)</f>
        <v>5178</v>
      </c>
      <c r="C29" s="15" t="s">
        <v>49</v>
      </c>
      <c r="D29" s="14">
        <f>SUM(D21:D26)</f>
        <v>6020</v>
      </c>
      <c r="H29" s="20"/>
      <c r="O29" s="30"/>
    </row>
    <row r="30" spans="1:18" s="17" customFormat="1" x14ac:dyDescent="0.2">
      <c r="A30" s="17" t="s">
        <v>50</v>
      </c>
      <c r="B30" s="77">
        <f>H9-B29</f>
        <v>2079.5</v>
      </c>
      <c r="C30" s="19" t="s">
        <v>50</v>
      </c>
      <c r="D30" s="16">
        <f>H9-D29</f>
        <v>1237.5</v>
      </c>
      <c r="I30"/>
      <c r="O30" s="30"/>
    </row>
    <row r="31" spans="1:18" s="17" customFormat="1" ht="15" x14ac:dyDescent="0.25">
      <c r="A31" s="13" t="s">
        <v>51</v>
      </c>
      <c r="B31" s="82">
        <f>(B2-B20)-B29</f>
        <v>388</v>
      </c>
      <c r="C31" s="15" t="s">
        <v>51</v>
      </c>
      <c r="D31" s="14">
        <f>(D2-D20)-D29</f>
        <v>2929</v>
      </c>
      <c r="F31" s="20"/>
      <c r="O31" s="30"/>
    </row>
    <row r="32" spans="1:18" s="17" customFormat="1" x14ac:dyDescent="0.2">
      <c r="A32" s="17" t="s">
        <v>52</v>
      </c>
      <c r="B32" s="77">
        <f>B31-B30</f>
        <v>-1691.5</v>
      </c>
      <c r="C32" s="19" t="s">
        <v>52</v>
      </c>
      <c r="D32" s="16">
        <f>D31-D30</f>
        <v>1691.5</v>
      </c>
      <c r="O32" s="30"/>
    </row>
    <row r="34" spans="1:15" s="17" customFormat="1" ht="15" x14ac:dyDescent="0.25">
      <c r="A34" s="17" t="s">
        <v>53</v>
      </c>
      <c r="B34" s="82">
        <f>(B31-B32)+B29</f>
        <v>7257.5</v>
      </c>
      <c r="C34" s="19" t="s">
        <v>53</v>
      </c>
      <c r="D34" s="14">
        <f>(D31-D32)+D29</f>
        <v>7257.5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ignoredErrors>
    <ignoredError sqref="B2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CD8C-BD5C-4D4C-9BD4-A0B629F4D8D3}">
  <dimension ref="A1:AMJ35"/>
  <sheetViews>
    <sheetView workbookViewId="0">
      <selection activeCell="Q28" sqref="Q28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v>24399</v>
      </c>
      <c r="C2" s="33" t="s">
        <v>24</v>
      </c>
      <c r="D2" s="32">
        <f>2650+15800+550</f>
        <v>19000</v>
      </c>
      <c r="F2" s="18">
        <f>B2+D2</f>
        <v>43399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109</v>
      </c>
      <c r="C3" s="86" t="s">
        <v>86</v>
      </c>
      <c r="D3" s="71">
        <v>0</v>
      </c>
      <c r="F3" s="47">
        <f>(F2-'25e Juli'!F2)/F2</f>
        <v>-8.6845319016567196E-2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699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412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1400</v>
      </c>
      <c r="C6" s="22" t="s">
        <v>11</v>
      </c>
      <c r="D6" s="16">
        <f>1007+386</f>
        <v>1393</v>
      </c>
      <c r="F6" s="18">
        <f>D20+B20</f>
        <v>32857</v>
      </c>
      <c r="H6" s="18">
        <f>F2-F6</f>
        <v>10542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500</v>
      </c>
      <c r="C7" s="22" t="s">
        <v>27</v>
      </c>
      <c r="D7" s="16">
        <v>7630</v>
      </c>
      <c r="F7" s="47">
        <f>(F6-'25e Juli'!F6)/F6</f>
        <v>6.2087226466202025E-3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343</v>
      </c>
      <c r="C8" s="22" t="s">
        <v>12</v>
      </c>
      <c r="D8" s="16">
        <f>450+130+320</f>
        <v>900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385</v>
      </c>
      <c r="C9" s="22" t="s">
        <v>31</v>
      </c>
      <c r="D9" s="16">
        <v>0</v>
      </c>
      <c r="F9" s="85">
        <f>F6-(('25e Februari'!F6+'25e Mars'!F6+'25e April'!F6+'25e Maj'!F6+'25e Juni'!F6+'25e Juli'!F6)/6)</f>
        <v>-943.20666666666511</v>
      </c>
      <c r="H9" s="18">
        <f>H6/2</f>
        <v>5271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2154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63</v>
      </c>
      <c r="C12" s="38" t="s">
        <v>64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65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13523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159</v>
      </c>
      <c r="C15" s="22" t="s">
        <v>34</v>
      </c>
      <c r="D15" s="16">
        <v>0</v>
      </c>
      <c r="M15" s="24"/>
      <c r="N15" s="24"/>
      <c r="O15" s="52"/>
      <c r="P15" s="52"/>
      <c r="Q15" s="53"/>
      <c r="R15" s="24"/>
    </row>
    <row r="16" spans="1:18" x14ac:dyDescent="0.2">
      <c r="A16" s="21" t="s">
        <v>36</v>
      </c>
      <c r="B16" s="77">
        <v>0</v>
      </c>
      <c r="C16" s="19" t="s">
        <v>78</v>
      </c>
      <c r="D16" s="16">
        <v>0</v>
      </c>
      <c r="M16" s="24"/>
      <c r="N16" s="24"/>
      <c r="O16" s="24"/>
      <c r="P16" s="24"/>
      <c r="Q16" s="24"/>
      <c r="R16" s="24"/>
    </row>
    <row r="17" spans="1:18" x14ac:dyDescent="0.2">
      <c r="A17" s="21" t="s">
        <v>7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12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SUM(B3:B18)</f>
        <v>19911</v>
      </c>
      <c r="C20" s="15" t="s">
        <v>39</v>
      </c>
      <c r="D20" s="14">
        <f>SUM(D3:D16)</f>
        <v>12946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87</v>
      </c>
      <c r="B23" s="77">
        <f>159+807+1000</f>
        <v>1966</v>
      </c>
      <c r="C23" s="19"/>
      <c r="D23" s="16"/>
      <c r="M23" s="24"/>
      <c r="N23" s="24"/>
      <c r="O23" s="24"/>
      <c r="P23" s="24"/>
      <c r="Q23" s="24"/>
      <c r="R23" s="24"/>
    </row>
    <row r="24" spans="1:18" s="17" customFormat="1" x14ac:dyDescent="0.2">
      <c r="A24" s="21" t="s">
        <v>45</v>
      </c>
      <c r="B24" s="77">
        <v>900</v>
      </c>
      <c r="C24" s="19"/>
      <c r="D24" s="16"/>
      <c r="H24" s="24"/>
      <c r="I24" s="24"/>
    </row>
    <row r="25" spans="1:18" s="17" customFormat="1" ht="15" x14ac:dyDescent="0.25">
      <c r="A25" s="78" t="s">
        <v>83</v>
      </c>
      <c r="B25" s="83">
        <v>0</v>
      </c>
      <c r="C25" s="50"/>
      <c r="H25" s="75"/>
      <c r="I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3110</v>
      </c>
      <c r="C30" s="15" t="s">
        <v>49</v>
      </c>
      <c r="D30" s="14">
        <f>SUM(D21:D27)</f>
        <v>570</v>
      </c>
      <c r="H30" s="20"/>
      <c r="O30" s="30"/>
    </row>
    <row r="31" spans="1:18" s="17" customFormat="1" x14ac:dyDescent="0.2">
      <c r="A31" s="17" t="s">
        <v>50</v>
      </c>
      <c r="B31" s="77">
        <f>H9-B30</f>
        <v>2161</v>
      </c>
      <c r="C31" s="19" t="s">
        <v>50</v>
      </c>
      <c r="D31" s="16">
        <f>H9-D30</f>
        <v>4701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1378</v>
      </c>
      <c r="C32" s="15" t="s">
        <v>51</v>
      </c>
      <c r="D32" s="14">
        <f>(D2-D20)-D30</f>
        <v>5484</v>
      </c>
      <c r="F32" s="20"/>
      <c r="O32" s="30"/>
    </row>
    <row r="33" spans="1:15" s="17" customFormat="1" x14ac:dyDescent="0.2">
      <c r="A33" s="17" t="s">
        <v>52</v>
      </c>
      <c r="B33" s="77">
        <f>B32-B31</f>
        <v>-783</v>
      </c>
      <c r="C33" s="19" t="s">
        <v>52</v>
      </c>
      <c r="D33" s="16">
        <f>D32-D31</f>
        <v>783</v>
      </c>
      <c r="O33" s="30"/>
    </row>
    <row r="35" spans="1:15" s="17" customFormat="1" ht="15" x14ac:dyDescent="0.25">
      <c r="A35" s="17" t="s">
        <v>53</v>
      </c>
      <c r="B35" s="82">
        <f>(B32-B33)+B30</f>
        <v>5271</v>
      </c>
      <c r="C35" s="19" t="s">
        <v>53</v>
      </c>
      <c r="D35" s="14">
        <f>(D32-D33)+D30</f>
        <v>5271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ignoredErrors>
    <ignoredError sqref="B2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DB85-CD0C-47F8-876A-900A09FCF989}">
  <dimension ref="A1:AMJ35"/>
  <sheetViews>
    <sheetView workbookViewId="0">
      <selection activeCell="Q28" sqref="Q28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v>24399</v>
      </c>
      <c r="C2" s="33" t="s">
        <v>24</v>
      </c>
      <c r="D2" s="32">
        <f>2650+1134+17709</f>
        <v>21493</v>
      </c>
      <c r="F2" s="18">
        <f>B2+D2</f>
        <v>45892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109</v>
      </c>
      <c r="C3" s="86" t="s">
        <v>86</v>
      </c>
      <c r="D3" s="71">
        <v>0</v>
      </c>
      <c r="F3" s="48">
        <f>(F2-'25e Augusti'!F2)/F2</f>
        <v>5.4323193584938555E-2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269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420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1400</v>
      </c>
      <c r="C6" s="22" t="s">
        <v>11</v>
      </c>
      <c r="D6" s="16">
        <f>1007+503</f>
        <v>1510</v>
      </c>
      <c r="F6" s="18">
        <f>D20+B20</f>
        <v>36137</v>
      </c>
      <c r="H6" s="18">
        <f>F2-F6</f>
        <v>9755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500</v>
      </c>
      <c r="C7" s="22" t="s">
        <v>27</v>
      </c>
      <c r="D7" s="16">
        <v>7000</v>
      </c>
      <c r="F7" s="47">
        <f>(F6-'25e Juli'!F6)/F6</f>
        <v>9.6410880814677483E-2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343</v>
      </c>
      <c r="C8" s="22" t="s">
        <v>12</v>
      </c>
      <c r="D8" s="16">
        <f>392+248+580+850+480</f>
        <v>2550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385</v>
      </c>
      <c r="C9" s="22" t="s">
        <v>31</v>
      </c>
      <c r="D9" s="16">
        <v>0</v>
      </c>
      <c r="F9" s="84">
        <f>F6-(('25e Mars'!F6+'25e April'!F6+'25e Maj'!F6+'25e Juni'!F6+'25e Juli'!F6+'25e Augusti'!F6)/6)</f>
        <v>2350.9599999999991</v>
      </c>
      <c r="H9" s="18">
        <f>H6/2</f>
        <v>4877.5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726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75</v>
      </c>
      <c r="C12" s="38" t="s">
        <v>64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65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13538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159</v>
      </c>
      <c r="C15" s="22" t="s">
        <v>34</v>
      </c>
      <c r="D15" s="16">
        <v>2500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36</v>
      </c>
      <c r="B16" s="77">
        <v>1000</v>
      </c>
      <c r="C16" s="19" t="s">
        <v>78</v>
      </c>
      <c r="D16" s="16">
        <v>0</v>
      </c>
      <c r="M16" s="24"/>
      <c r="N16" s="24"/>
      <c r="O16" s="24"/>
      <c r="P16" s="24"/>
      <c r="Q16" s="24"/>
      <c r="R16" s="24"/>
    </row>
    <row r="17" spans="1:18" x14ac:dyDescent="0.2">
      <c r="A17" s="21" t="s">
        <v>7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12</v>
      </c>
      <c r="B18" s="77">
        <v>426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SUM(B3:B18)</f>
        <v>19506</v>
      </c>
      <c r="C20" s="15" t="s">
        <v>39</v>
      </c>
      <c r="D20" s="14">
        <f>SUM(D3:D16)</f>
        <v>16631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H21" s="17">
        <f>F6-B16-D15</f>
        <v>32637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87</v>
      </c>
      <c r="B23" s="77">
        <f>1177.96+1102</f>
        <v>2279.96</v>
      </c>
      <c r="C23" s="19"/>
      <c r="D23" s="16"/>
      <c r="M23" s="24"/>
      <c r="N23" s="24"/>
      <c r="O23" s="24"/>
      <c r="P23" s="24"/>
      <c r="Q23" s="24"/>
      <c r="R23" s="24"/>
    </row>
    <row r="24" spans="1:18" s="17" customFormat="1" x14ac:dyDescent="0.2">
      <c r="A24" s="21" t="s">
        <v>45</v>
      </c>
      <c r="B24" s="77">
        <v>900</v>
      </c>
      <c r="C24" s="19"/>
      <c r="D24" s="16"/>
      <c r="H24" s="24"/>
      <c r="I24" s="24"/>
    </row>
    <row r="25" spans="1:18" s="17" customFormat="1" ht="15" x14ac:dyDescent="0.25">
      <c r="A25" s="78" t="s">
        <v>83</v>
      </c>
      <c r="B25" s="83">
        <v>0</v>
      </c>
      <c r="C25" s="50"/>
      <c r="H25" s="75"/>
      <c r="I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3423.96</v>
      </c>
      <c r="C30" s="15" t="s">
        <v>49</v>
      </c>
      <c r="D30" s="14">
        <f>SUM(D21:D27)</f>
        <v>570</v>
      </c>
      <c r="H30" s="20"/>
      <c r="O30" s="30"/>
    </row>
    <row r="31" spans="1:18" s="17" customFormat="1" x14ac:dyDescent="0.2">
      <c r="A31" s="17" t="s">
        <v>50</v>
      </c>
      <c r="B31" s="77">
        <f>H9-B30</f>
        <v>1453.54</v>
      </c>
      <c r="C31" s="19" t="s">
        <v>50</v>
      </c>
      <c r="D31" s="16">
        <f>H9-D30</f>
        <v>4307.5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1469.04</v>
      </c>
      <c r="C32" s="15" t="s">
        <v>51</v>
      </c>
      <c r="D32" s="14">
        <f>(D2-D20)-D30</f>
        <v>4292</v>
      </c>
      <c r="F32" s="20"/>
      <c r="O32" s="30"/>
    </row>
    <row r="33" spans="1:15" s="17" customFormat="1" x14ac:dyDescent="0.2">
      <c r="A33" s="17" t="s">
        <v>52</v>
      </c>
      <c r="B33" s="77">
        <f>B32-B31</f>
        <v>15.5</v>
      </c>
      <c r="C33" s="19" t="s">
        <v>52</v>
      </c>
      <c r="D33" s="16">
        <f>D32-D31</f>
        <v>-15.5</v>
      </c>
      <c r="O33" s="30"/>
    </row>
    <row r="35" spans="1:15" s="17" customFormat="1" ht="15" x14ac:dyDescent="0.25">
      <c r="A35" s="17" t="s">
        <v>53</v>
      </c>
      <c r="B35" s="82">
        <f>(B32-B33)+B30</f>
        <v>4877.5</v>
      </c>
      <c r="C35" s="19" t="s">
        <v>53</v>
      </c>
      <c r="D35" s="14">
        <f>(D32-D33)+D30</f>
        <v>4877.5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17CB-CDBD-4922-A12B-5B597497AAA4}">
  <dimension ref="A1:AMJ35"/>
  <sheetViews>
    <sheetView workbookViewId="0">
      <selection activeCell="Q28" sqref="Q28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f>36556+567</f>
        <v>37123</v>
      </c>
      <c r="C2" s="33" t="s">
        <v>24</v>
      </c>
      <c r="D2" s="32">
        <f>7079+2650+1889+114</f>
        <v>11732</v>
      </c>
      <c r="F2" s="18">
        <f>B2+D2</f>
        <v>48855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109</v>
      </c>
      <c r="C3" s="86" t="s">
        <v>89</v>
      </c>
      <c r="D3" s="71">
        <v>208</v>
      </c>
      <c r="F3" s="48">
        <f>(F2-'25e September'!F2)/F2</f>
        <v>6.0648858868079011E-2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269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429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1400</v>
      </c>
      <c r="C6" s="22" t="s">
        <v>11</v>
      </c>
      <c r="D6" s="16">
        <f>1007+503</f>
        <v>1510</v>
      </c>
      <c r="F6" s="18">
        <f>D20+B20</f>
        <v>44096</v>
      </c>
      <c r="H6" s="18">
        <f>F2-F6</f>
        <v>4759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615</v>
      </c>
      <c r="C7" s="22" t="s">
        <v>27</v>
      </c>
      <c r="D7" s="16">
        <v>7000</v>
      </c>
      <c r="F7" s="47">
        <f>(F6-'25e September'!F6)/F6</f>
        <v>0.18049256168359942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343</v>
      </c>
      <c r="C8" s="22" t="s">
        <v>12</v>
      </c>
      <c r="D8" s="16">
        <v>480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385</v>
      </c>
      <c r="C9" s="22" t="s">
        <v>31</v>
      </c>
      <c r="D9" s="16">
        <v>0</v>
      </c>
      <c r="F9" s="85">
        <f>F6-(('25e April'!F6+'25e Maj'!F6+'25e Juni'!F6+'25e Juli'!F6+'25e Augusti'!F6+'25e September'!F6)/6)</f>
        <v>9813.6266666666706</v>
      </c>
      <c r="H9" s="18">
        <f>H6/2</f>
        <v>2379.5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775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58</v>
      </c>
      <c r="C12" s="38" t="s">
        <v>64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65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13529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159</v>
      </c>
      <c r="C15" s="22" t="s">
        <v>34</v>
      </c>
      <c r="D15" s="16">
        <v>0</v>
      </c>
      <c r="M15" s="24"/>
      <c r="N15" s="24"/>
      <c r="O15" s="52"/>
      <c r="P15" s="52"/>
      <c r="Q15" s="53"/>
      <c r="R15" s="24"/>
    </row>
    <row r="16" spans="1:18" x14ac:dyDescent="0.2">
      <c r="A16" s="21" t="s">
        <v>36</v>
      </c>
      <c r="B16" s="77">
        <v>13600</v>
      </c>
      <c r="C16" s="19" t="s">
        <v>78</v>
      </c>
      <c r="D16" s="16">
        <v>0</v>
      </c>
      <c r="H16" s="17">
        <f>F6-B16</f>
        <v>30496</v>
      </c>
      <c r="M16" s="24"/>
      <c r="N16" s="24"/>
      <c r="O16" s="24"/>
      <c r="P16" s="24"/>
      <c r="Q16" s="24"/>
      <c r="R16" s="24"/>
    </row>
    <row r="17" spans="1:18" x14ac:dyDescent="0.2">
      <c r="A17" s="21" t="s">
        <v>7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12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SUM(B3:B18)</f>
        <v>31818</v>
      </c>
      <c r="C20" s="15" t="s">
        <v>39</v>
      </c>
      <c r="D20" s="14">
        <f>SUM(D3:D16)</f>
        <v>12278</v>
      </c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145</v>
      </c>
      <c r="C22" s="19" t="s">
        <v>29</v>
      </c>
      <c r="D22" s="16">
        <v>950</v>
      </c>
      <c r="N22" s="24"/>
      <c r="O22" s="24"/>
      <c r="P22" s="24"/>
      <c r="Q22" s="24"/>
      <c r="R22" s="24"/>
    </row>
    <row r="23" spans="1:18" s="17" customFormat="1" x14ac:dyDescent="0.2">
      <c r="A23" s="21" t="s">
        <v>87</v>
      </c>
      <c r="B23" s="77">
        <v>1180</v>
      </c>
      <c r="C23" s="19"/>
      <c r="D23" s="16"/>
      <c r="N23" s="24"/>
      <c r="O23" s="24"/>
      <c r="P23" s="24"/>
      <c r="Q23" s="24"/>
      <c r="R23" s="24"/>
    </row>
    <row r="24" spans="1:18" s="17" customFormat="1" x14ac:dyDescent="0.2">
      <c r="A24" s="21" t="s">
        <v>45</v>
      </c>
      <c r="B24" s="77">
        <v>900</v>
      </c>
      <c r="C24" s="19"/>
      <c r="D24" s="16"/>
      <c r="I24" s="24"/>
      <c r="J24" s="24"/>
    </row>
    <row r="25" spans="1:18" s="17" customFormat="1" ht="15" x14ac:dyDescent="0.25">
      <c r="A25" s="78" t="s">
        <v>83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2324</v>
      </c>
      <c r="C30" s="15" t="s">
        <v>49</v>
      </c>
      <c r="D30" s="14">
        <f>SUM(D21:D27)</f>
        <v>1520</v>
      </c>
      <c r="H30" s="20"/>
      <c r="O30" s="30"/>
    </row>
    <row r="31" spans="1:18" s="17" customFormat="1" x14ac:dyDescent="0.2">
      <c r="A31" s="17" t="s">
        <v>50</v>
      </c>
      <c r="B31" s="77">
        <f>H9-B30</f>
        <v>55.5</v>
      </c>
      <c r="C31" s="19" t="s">
        <v>50</v>
      </c>
      <c r="D31" s="16">
        <f>H9-D30</f>
        <v>859.5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2981</v>
      </c>
      <c r="C32" s="15" t="s">
        <v>51</v>
      </c>
      <c r="D32" s="14">
        <f>(D2-D20)-D30</f>
        <v>-2066</v>
      </c>
      <c r="F32" s="20"/>
      <c r="O32" s="30"/>
    </row>
    <row r="33" spans="1:15" s="17" customFormat="1" x14ac:dyDescent="0.2">
      <c r="A33" s="17" t="s">
        <v>52</v>
      </c>
      <c r="B33" s="77">
        <f>B31-B32</f>
        <v>-2925.5</v>
      </c>
      <c r="C33" s="19" t="s">
        <v>52</v>
      </c>
      <c r="D33" s="16">
        <f>D31-32</f>
        <v>827.5</v>
      </c>
      <c r="O33" s="30"/>
    </row>
    <row r="35" spans="1:15" s="17" customFormat="1" ht="15" x14ac:dyDescent="0.25">
      <c r="A35" s="17" t="s">
        <v>53</v>
      </c>
      <c r="B35" s="82">
        <f>(B32-B33)+B30</f>
        <v>8230.5</v>
      </c>
      <c r="C35" s="19" t="s">
        <v>53</v>
      </c>
      <c r="D35" s="14">
        <f>(D32-D33)+D30</f>
        <v>-1373.5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8B00-E820-4E16-BF71-13E48DD35BD3}">
  <sheetPr codeName="Blad1"/>
  <dimension ref="A1:AMJ35"/>
  <sheetViews>
    <sheetView workbookViewId="0">
      <selection activeCell="Q28" sqref="Q28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f>24511+1500</f>
        <v>26011</v>
      </c>
      <c r="C2" s="33" t="s">
        <v>24</v>
      </c>
      <c r="D2" s="32">
        <f>18000+6380+2650+1014+7549+550+1500</f>
        <v>37643</v>
      </c>
      <c r="F2" s="18">
        <f>B2+D2</f>
        <v>63654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90">
        <v>99</v>
      </c>
      <c r="C3" s="86" t="s">
        <v>89</v>
      </c>
      <c r="D3" s="71">
        <v>0</v>
      </c>
      <c r="F3" s="48">
        <f>(F2-'25e Oktober'!F2)/F2</f>
        <v>0.23249128098784053</v>
      </c>
      <c r="M3" s="24"/>
      <c r="N3" s="24"/>
      <c r="O3" s="52"/>
      <c r="P3" s="24"/>
      <c r="Q3" s="24"/>
      <c r="R3" s="24"/>
    </row>
    <row r="4" spans="1:18" ht="15" x14ac:dyDescent="0.25">
      <c r="A4" s="21" t="s">
        <v>1</v>
      </c>
      <c r="B4" s="82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ht="15" x14ac:dyDescent="0.25">
      <c r="A5" s="21" t="s">
        <v>55</v>
      </c>
      <c r="B5" s="82">
        <v>69</v>
      </c>
      <c r="C5" s="22" t="s">
        <v>9</v>
      </c>
      <c r="D5" s="16">
        <v>449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82">
        <v>1400</v>
      </c>
      <c r="C6" s="22" t="s">
        <v>11</v>
      </c>
      <c r="D6" s="16">
        <f>1007+503</f>
        <v>1510</v>
      </c>
      <c r="F6" s="18">
        <f>D20+B20</f>
        <v>41052</v>
      </c>
      <c r="H6" s="18">
        <f>F2-F6</f>
        <v>22602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82">
        <v>599</v>
      </c>
      <c r="C7" s="22" t="s">
        <v>27</v>
      </c>
      <c r="D7" s="16">
        <v>7000</v>
      </c>
      <c r="F7" s="48">
        <f>(F6-'25e Oktober'!F6)/F6</f>
        <v>-7.4149858715775119E-2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343</v>
      </c>
      <c r="C8" s="22" t="s">
        <v>12</v>
      </c>
      <c r="D8" s="16">
        <f>160+(525-175)+368+886</f>
        <v>1764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385</v>
      </c>
      <c r="C9" s="22" t="s">
        <v>31</v>
      </c>
      <c r="D9" s="16">
        <v>1126</v>
      </c>
      <c r="F9" s="84">
        <f>F6-(('25e Maj'!F6+'25e Juni'!F6+'25e Juli'!F6+'25e Augusti'!F6+'25e September'!F6+'25e Oktober'!F6)/6)</f>
        <v>5442.5</v>
      </c>
      <c r="H9" s="18">
        <f>H6/2</f>
        <v>11301</v>
      </c>
      <c r="M9" s="24"/>
      <c r="N9" s="24"/>
      <c r="O9" s="52"/>
      <c r="P9" s="52"/>
      <c r="Q9" s="53"/>
      <c r="R9" s="24"/>
    </row>
    <row r="10" spans="1:18" ht="15" x14ac:dyDescent="0.25">
      <c r="A10" s="21" t="s">
        <v>3</v>
      </c>
      <c r="B10" s="82">
        <v>375</v>
      </c>
      <c r="C10" s="22" t="s">
        <v>10</v>
      </c>
      <c r="D10" s="16">
        <v>479</v>
      </c>
      <c r="M10" s="24"/>
      <c r="N10" s="24"/>
      <c r="O10" s="52"/>
      <c r="P10" s="52"/>
      <c r="Q10" s="53"/>
      <c r="R10" s="24"/>
    </row>
    <row r="11" spans="1:18" ht="15" x14ac:dyDescent="0.25">
      <c r="A11" s="21" t="s">
        <v>35</v>
      </c>
      <c r="B11" s="82">
        <v>2315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ht="15" x14ac:dyDescent="0.25">
      <c r="A12" s="21" t="s">
        <v>2</v>
      </c>
      <c r="B12" s="82">
        <v>58</v>
      </c>
      <c r="C12" s="38" t="s">
        <v>64</v>
      </c>
      <c r="D12" s="16">
        <v>628</v>
      </c>
      <c r="M12" s="24"/>
      <c r="N12" s="24"/>
      <c r="O12" s="52"/>
      <c r="P12" s="52"/>
      <c r="Q12" s="53"/>
      <c r="R12" s="24"/>
    </row>
    <row r="13" spans="1:18" ht="15" x14ac:dyDescent="0.25">
      <c r="A13" s="21" t="s">
        <v>68</v>
      </c>
      <c r="B13" s="82">
        <v>67</v>
      </c>
      <c r="C13" s="38" t="s">
        <v>65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13619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179</v>
      </c>
      <c r="C15" s="22" t="s">
        <v>34</v>
      </c>
      <c r="D15" s="16">
        <f>300+4700</f>
        <v>5000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36</v>
      </c>
      <c r="B16" s="82">
        <v>1000</v>
      </c>
      <c r="C16" s="19" t="s">
        <v>78</v>
      </c>
      <c r="D16" s="16">
        <v>250</v>
      </c>
      <c r="M16" s="24"/>
      <c r="N16" s="24"/>
      <c r="O16" s="24"/>
      <c r="P16" s="24"/>
      <c r="Q16" s="24"/>
      <c r="R16" s="24"/>
    </row>
    <row r="17" spans="1:18" x14ac:dyDescent="0.2">
      <c r="A17" s="21" t="s">
        <v>7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12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SUM(B3:B18)</f>
        <v>21302</v>
      </c>
      <c r="C20" s="15" t="s">
        <v>39</v>
      </c>
      <c r="D20" s="14">
        <f>SUM(D3:D16)</f>
        <v>19750</v>
      </c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145</v>
      </c>
      <c r="C22" s="19" t="s">
        <v>12</v>
      </c>
      <c r="D22" s="16">
        <f>149+1200</f>
        <v>1349</v>
      </c>
      <c r="I22"/>
      <c r="N22" s="24"/>
      <c r="O22" s="24"/>
      <c r="P22" s="24"/>
      <c r="Q22" s="24"/>
      <c r="R22" s="24"/>
    </row>
    <row r="23" spans="1:18" s="17" customFormat="1" ht="15" x14ac:dyDescent="0.25">
      <c r="A23" s="21" t="s">
        <v>87</v>
      </c>
      <c r="B23" s="82">
        <f>804+1000+230+170+840</f>
        <v>3044</v>
      </c>
      <c r="C23" s="19"/>
      <c r="D23" s="16"/>
      <c r="N23" s="24"/>
      <c r="O23" s="24"/>
      <c r="P23" s="24"/>
      <c r="Q23" s="24"/>
      <c r="R23" s="24"/>
    </row>
    <row r="24" spans="1:18" s="17" customFormat="1" ht="15" x14ac:dyDescent="0.25">
      <c r="A24" s="21" t="s">
        <v>45</v>
      </c>
      <c r="B24" s="82">
        <v>900</v>
      </c>
      <c r="C24" s="19"/>
      <c r="D24" s="16"/>
      <c r="I24" s="24"/>
      <c r="J24" s="24"/>
    </row>
    <row r="25" spans="1:18" s="17" customFormat="1" ht="15" x14ac:dyDescent="0.25">
      <c r="A25" s="78" t="s">
        <v>83</v>
      </c>
      <c r="B25" s="83">
        <v>2000</v>
      </c>
      <c r="C25" s="50"/>
      <c r="I25" s="75"/>
      <c r="J25" s="76"/>
    </row>
    <row r="26" spans="1:18" s="17" customFormat="1" ht="15" x14ac:dyDescent="0.25">
      <c r="A26" s="78" t="s">
        <v>84</v>
      </c>
      <c r="B26" s="83">
        <v>3000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9188</v>
      </c>
      <c r="C30" s="15" t="s">
        <v>49</v>
      </c>
      <c r="D30" s="14">
        <f>SUM(D21:D27)</f>
        <v>1919</v>
      </c>
      <c r="H30" s="20"/>
      <c r="I30" s="39"/>
      <c r="O30" s="30"/>
    </row>
    <row r="31" spans="1:18" s="17" customFormat="1" x14ac:dyDescent="0.2">
      <c r="A31" s="17" t="s">
        <v>50</v>
      </c>
      <c r="B31" s="77">
        <f>H9-B30</f>
        <v>2113</v>
      </c>
      <c r="C31" s="19" t="s">
        <v>50</v>
      </c>
      <c r="D31" s="16">
        <f>H9-D30</f>
        <v>9382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-4479</v>
      </c>
      <c r="C32" s="15" t="s">
        <v>51</v>
      </c>
      <c r="D32" s="14">
        <f>(D2-D20)-D30</f>
        <v>15974</v>
      </c>
      <c r="F32" s="20"/>
      <c r="O32" s="30"/>
    </row>
    <row r="33" spans="1:15" s="17" customFormat="1" x14ac:dyDescent="0.2">
      <c r="A33" s="17" t="s">
        <v>52</v>
      </c>
      <c r="B33" s="77">
        <f>B31-B32</f>
        <v>6592</v>
      </c>
      <c r="C33" s="19" t="s">
        <v>52</v>
      </c>
      <c r="D33" s="16">
        <f>D31-D32</f>
        <v>-6592</v>
      </c>
      <c r="O33" s="30"/>
    </row>
    <row r="35" spans="1:15" s="17" customFormat="1" ht="15" x14ac:dyDescent="0.25">
      <c r="A35" s="17" t="s">
        <v>53</v>
      </c>
      <c r="B35" s="82">
        <f>(B32-B33)+B30</f>
        <v>-1883</v>
      </c>
      <c r="C35" s="19" t="s">
        <v>53</v>
      </c>
      <c r="D35" s="14">
        <f>(D32-D33)+D30</f>
        <v>24485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9AD1-DBFB-4183-B34E-5C0F3C351E08}">
  <dimension ref="A1:AMJ35"/>
  <sheetViews>
    <sheetView workbookViewId="0">
      <selection activeCell="Q28" sqref="Q28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v>22315</v>
      </c>
      <c r="C2" s="33" t="s">
        <v>24</v>
      </c>
      <c r="D2" s="32">
        <f>13770+2650+670</f>
        <v>17090</v>
      </c>
      <c r="F2" s="18">
        <f>B2+D2</f>
        <v>39405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99</v>
      </c>
      <c r="C3" s="86" t="s">
        <v>89</v>
      </c>
      <c r="D3" s="71">
        <v>315</v>
      </c>
      <c r="F3" s="47">
        <f>(F2-'25e November'!F2)/F2</f>
        <v>-0.10577337901281564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416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1400</v>
      </c>
      <c r="C6" s="22" t="s">
        <v>11</v>
      </c>
      <c r="D6" s="16">
        <f>1007+503</f>
        <v>1510</v>
      </c>
      <c r="F6" s="18">
        <f>D20+B20</f>
        <v>34011</v>
      </c>
      <c r="H6" s="18">
        <f>F2-F6</f>
        <v>5394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583</v>
      </c>
      <c r="C7" s="22" t="s">
        <v>27</v>
      </c>
      <c r="D7" s="16">
        <v>7000</v>
      </c>
      <c r="F7" s="48">
        <f>(F6-'25e November 2021'!F6)/F6</f>
        <v>-0.20702125782834965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343</v>
      </c>
      <c r="C8" s="22" t="s">
        <v>12</v>
      </c>
      <c r="D8" s="16">
        <f>200+100+530+1150</f>
        <v>1980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385</v>
      </c>
      <c r="C9" s="22" t="s">
        <v>31</v>
      </c>
      <c r="D9" s="16">
        <v>0</v>
      </c>
      <c r="F9" s="84">
        <f>F6-(('25e Maj'!F6+'25e Juni'!F6+'25e Juli'!F6+'25e Augusti'!F6+'25e September'!F6+'25e Oktober'!F6)/6)</f>
        <v>-1598.5</v>
      </c>
      <c r="H9" s="18">
        <f>H6/2</f>
        <v>2697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855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215</v>
      </c>
      <c r="C12" s="38" t="s">
        <v>64</v>
      </c>
      <c r="D12" s="16">
        <v>625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65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13629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179</v>
      </c>
      <c r="C15" s="22" t="s">
        <v>34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36</v>
      </c>
      <c r="B16" s="77">
        <v>0</v>
      </c>
      <c r="C16" s="19" t="s">
        <v>78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7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12</v>
      </c>
      <c r="B18" s="77">
        <f>429+360+200+160</f>
        <v>1149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SUM(B3:B18)</f>
        <v>20142</v>
      </c>
      <c r="C20" s="15" t="s">
        <v>39</v>
      </c>
      <c r="D20" s="14">
        <f>SUM(D3:D16)</f>
        <v>13869</v>
      </c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J21" s="92"/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145</v>
      </c>
      <c r="C22" s="19" t="s">
        <v>12</v>
      </c>
      <c r="D22" s="16">
        <v>0</v>
      </c>
      <c r="I22"/>
      <c r="N22" s="24"/>
      <c r="O22" s="24"/>
      <c r="P22" s="24"/>
      <c r="Q22" s="24"/>
      <c r="R22" s="24"/>
    </row>
    <row r="23" spans="1:18" s="17" customFormat="1" x14ac:dyDescent="0.2">
      <c r="A23" s="21" t="s">
        <v>87</v>
      </c>
      <c r="B23" s="77">
        <v>807</v>
      </c>
      <c r="C23" s="19"/>
      <c r="D23" s="16"/>
      <c r="N23" s="24"/>
      <c r="O23" s="24"/>
      <c r="P23" s="24"/>
      <c r="Q23" s="24"/>
      <c r="R23" s="24"/>
    </row>
    <row r="24" spans="1:18" s="17" customFormat="1" x14ac:dyDescent="0.2">
      <c r="A24" s="21" t="s">
        <v>45</v>
      </c>
      <c r="B24" s="77">
        <v>840</v>
      </c>
      <c r="C24" s="19"/>
      <c r="D24" s="16"/>
      <c r="I24" s="24"/>
      <c r="J24" s="24"/>
    </row>
    <row r="25" spans="1:18" s="17" customFormat="1" ht="15" x14ac:dyDescent="0.25">
      <c r="A25" s="78" t="s">
        <v>83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1891</v>
      </c>
      <c r="C30" s="15" t="s">
        <v>49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50</v>
      </c>
      <c r="B31" s="77">
        <f>H9-B30</f>
        <v>806</v>
      </c>
      <c r="C31" s="19" t="s">
        <v>50</v>
      </c>
      <c r="D31" s="16">
        <f>H9-D30</f>
        <v>2127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282</v>
      </c>
      <c r="C32" s="15" t="s">
        <v>51</v>
      </c>
      <c r="D32" s="14">
        <f>(D2-D20)-D30</f>
        <v>2651</v>
      </c>
      <c r="F32" s="20"/>
      <c r="O32" s="30"/>
    </row>
    <row r="33" spans="1:15" s="17" customFormat="1" x14ac:dyDescent="0.2">
      <c r="A33" s="17" t="s">
        <v>52</v>
      </c>
      <c r="B33" s="77">
        <f>B31-B32</f>
        <v>524</v>
      </c>
      <c r="C33" s="19" t="s">
        <v>52</v>
      </c>
      <c r="D33" s="16">
        <f>D31-D32</f>
        <v>-524</v>
      </c>
      <c r="O33" s="30"/>
    </row>
    <row r="35" spans="1:15" s="17" customFormat="1" ht="15" x14ac:dyDescent="0.25">
      <c r="A35" s="17" t="s">
        <v>53</v>
      </c>
      <c r="B35" s="82">
        <f>(B32-B33)+B30</f>
        <v>1649</v>
      </c>
      <c r="C35" s="19" t="s">
        <v>53</v>
      </c>
      <c r="D35" s="14">
        <f>(D32-D33)+D30</f>
        <v>3745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7D83-A69F-47B5-A047-4A837185CB83}">
  <dimension ref="A1:AMJ35"/>
  <sheetViews>
    <sheetView workbookViewId="0">
      <selection activeCell="B23" sqref="B23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f>20392+4469</f>
        <v>24861</v>
      </c>
      <c r="C2" s="33" t="s">
        <v>24</v>
      </c>
      <c r="D2" s="32">
        <f>2650+8198+2400+600+6300</f>
        <v>20148</v>
      </c>
      <c r="F2" s="18">
        <f>B2+D2</f>
        <v>45009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99</v>
      </c>
      <c r="C3" s="86" t="s">
        <v>89</v>
      </c>
      <c r="D3" s="71">
        <v>0</v>
      </c>
      <c r="F3" s="48">
        <f>(F2-'25e December 2021'!F2)/F2</f>
        <v>0.12450843164700394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482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1400</v>
      </c>
      <c r="C6" s="22" t="s">
        <v>11</v>
      </c>
      <c r="D6" s="16">
        <f>1007+503</f>
        <v>1510</v>
      </c>
      <c r="F6" s="18">
        <f>D20+B20</f>
        <v>39382</v>
      </c>
      <c r="H6" s="18">
        <f>F2-F6</f>
        <v>5627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0</v>
      </c>
      <c r="C7" s="22" t="s">
        <v>27</v>
      </c>
      <c r="D7" s="16">
        <v>6500</v>
      </c>
      <c r="F7" s="47">
        <f>(F6-'25e December 2021'!F6)/F6</f>
        <v>0.13638210349906049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343</v>
      </c>
      <c r="C8" s="22" t="s">
        <v>12</v>
      </c>
      <c r="D8" s="16">
        <f>1095+1009+292+6000</f>
        <v>8396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385</v>
      </c>
      <c r="C9" s="22" t="s">
        <v>31</v>
      </c>
      <c r="D9" s="16">
        <v>0</v>
      </c>
      <c r="F9" s="84">
        <f>F6-(('25e Maj'!F6+'25e Juni'!F6+'25e Juli'!F6+'25e Augusti'!F6+'25e September'!F6+'25e Oktober'!F6)/6)</f>
        <v>3772.5</v>
      </c>
      <c r="H9" s="18">
        <f>H6/2</f>
        <v>2813.5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1619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466</v>
      </c>
      <c r="C12" s="38" t="s">
        <v>64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65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13744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179</v>
      </c>
      <c r="C15" s="22" t="s">
        <v>34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36</v>
      </c>
      <c r="B16" s="77">
        <v>0</v>
      </c>
      <c r="C16" s="19" t="s">
        <v>78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7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12</v>
      </c>
      <c r="B18" s="77">
        <f>300</f>
        <v>300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SUM(B3:B18)</f>
        <v>19840</v>
      </c>
      <c r="C20" s="15" t="s">
        <v>39</v>
      </c>
      <c r="D20" s="14">
        <f>SUM(D3:D16)</f>
        <v>19542</v>
      </c>
      <c r="I20" s="17">
        <f>F2/2</f>
        <v>22504.5</v>
      </c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H21" s="17" t="s">
        <v>90</v>
      </c>
      <c r="I21" s="17">
        <f>B2-B20</f>
        <v>5021</v>
      </c>
      <c r="J21" s="94">
        <f>I24-I21</f>
        <v>-2207.5</v>
      </c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0</v>
      </c>
      <c r="C22" s="19" t="s">
        <v>12</v>
      </c>
      <c r="D22" s="16">
        <v>0</v>
      </c>
      <c r="H22" s="17" t="s">
        <v>91</v>
      </c>
      <c r="I22" s="93">
        <f>D2-D20</f>
        <v>606</v>
      </c>
      <c r="J22" s="17">
        <f>I24-I22</f>
        <v>2207.5</v>
      </c>
      <c r="N22" s="24"/>
      <c r="O22" s="24"/>
      <c r="P22" s="24"/>
      <c r="Q22" s="24"/>
      <c r="R22" s="24"/>
    </row>
    <row r="23" spans="1:18" s="17" customFormat="1" x14ac:dyDescent="0.2">
      <c r="A23" s="21" t="s">
        <v>87</v>
      </c>
      <c r="B23" s="77">
        <v>807</v>
      </c>
      <c r="C23" s="19"/>
      <c r="D23" s="16"/>
      <c r="H23" s="17" t="s">
        <v>92</v>
      </c>
      <c r="I23" s="17">
        <f>I21+I22</f>
        <v>5627</v>
      </c>
      <c r="N23" s="24"/>
      <c r="O23" s="24"/>
      <c r="P23" s="24"/>
      <c r="Q23" s="24"/>
      <c r="R23" s="24"/>
    </row>
    <row r="24" spans="1:18" s="17" customFormat="1" x14ac:dyDescent="0.2">
      <c r="A24" s="21" t="s">
        <v>45</v>
      </c>
      <c r="B24" s="77">
        <v>0</v>
      </c>
      <c r="C24" s="19"/>
      <c r="D24" s="16"/>
      <c r="H24" s="17" t="s">
        <v>93</v>
      </c>
      <c r="I24" s="24">
        <f>I23/2</f>
        <v>2813.5</v>
      </c>
      <c r="J24" s="24"/>
    </row>
    <row r="25" spans="1:18" s="17" customFormat="1" ht="15" x14ac:dyDescent="0.25">
      <c r="A25" s="78" t="s">
        <v>83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906</v>
      </c>
      <c r="C30" s="15" t="s">
        <v>49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50</v>
      </c>
      <c r="B31" s="77">
        <f>H9-B30</f>
        <v>1907.5</v>
      </c>
      <c r="C31" s="19" t="s">
        <v>50</v>
      </c>
      <c r="D31" s="16">
        <f>H9-D30</f>
        <v>2243.5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4115</v>
      </c>
      <c r="C32" s="15" t="s">
        <v>51</v>
      </c>
      <c r="D32" s="14">
        <f>(D2-D20)-D30</f>
        <v>36</v>
      </c>
      <c r="F32" s="20"/>
      <c r="O32" s="30"/>
    </row>
    <row r="33" spans="1:15" s="17" customFormat="1" x14ac:dyDescent="0.2">
      <c r="A33" s="17" t="s">
        <v>52</v>
      </c>
      <c r="B33" s="77">
        <f>B31-B32</f>
        <v>-2207.5</v>
      </c>
      <c r="C33" s="19" t="s">
        <v>52</v>
      </c>
      <c r="D33" s="16">
        <f>D31-D32</f>
        <v>2207.5</v>
      </c>
      <c r="O33" s="30"/>
    </row>
    <row r="35" spans="1:15" s="17" customFormat="1" ht="15" x14ac:dyDescent="0.25">
      <c r="A35" s="17" t="s">
        <v>53</v>
      </c>
      <c r="B35" s="82">
        <f>(B32-B33)+B30</f>
        <v>7228.5</v>
      </c>
      <c r="C35" s="19" t="s">
        <v>53</v>
      </c>
      <c r="D35" s="14">
        <f>(D32-D33)+D30</f>
        <v>-1601.5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A1BD-BD2F-46A9-A2CB-8F18345D55E6}">
  <dimension ref="A1:AMJ35"/>
  <sheetViews>
    <sheetView workbookViewId="0">
      <selection activeCell="H17" sqref="H17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f>567+24569</f>
        <v>25136</v>
      </c>
      <c r="C2" s="33" t="s">
        <v>24</v>
      </c>
      <c r="D2" s="32">
        <v>18630</v>
      </c>
      <c r="F2" s="18">
        <f>B2+D2</f>
        <v>43766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99</v>
      </c>
      <c r="C3" s="86" t="s">
        <v>89</v>
      </c>
      <c r="D3" s="71">
        <v>0</v>
      </c>
      <c r="F3" s="47">
        <f>(F2-'25e Januari 2022'!F2)/F2</f>
        <v>-2.8401041904674861E-2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494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1400</v>
      </c>
      <c r="C6" s="22" t="s">
        <v>11</v>
      </c>
      <c r="D6" s="16">
        <f>1007+503</f>
        <v>1510</v>
      </c>
      <c r="F6" s="18">
        <f>D20+B20</f>
        <v>35076</v>
      </c>
      <c r="H6" s="18">
        <f>F2-F6</f>
        <v>8690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585</v>
      </c>
      <c r="C7" s="22" t="s">
        <v>27</v>
      </c>
      <c r="D7" s="16">
        <v>6500</v>
      </c>
      <c r="F7" s="48">
        <f>(F6-'25e Januari 2022'!F6)/F6</f>
        <v>-0.12276200250883795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358</v>
      </c>
      <c r="C8" s="22" t="s">
        <v>12</v>
      </c>
      <c r="D8" s="16">
        <f>4120+600+520</f>
        <v>5240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429</v>
      </c>
      <c r="C9" s="22" t="s">
        <v>31</v>
      </c>
      <c r="D9" s="16">
        <v>1030</v>
      </c>
      <c r="F9" s="84">
        <f>F6-(('25e Maj'!F6+'25e Juni'!F6+'25e Juli'!F6+'25e Augusti'!F6+'25e September'!F6+'25e Oktober'!F6)/6)</f>
        <v>-533.5</v>
      </c>
      <c r="H9" s="18">
        <f>H6/2</f>
        <v>4345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0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61</v>
      </c>
      <c r="C12" s="38" t="s">
        <v>64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94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13781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179</v>
      </c>
      <c r="C15" s="22" t="s">
        <v>34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36</v>
      </c>
      <c r="B16" s="77">
        <v>0</v>
      </c>
      <c r="C16" s="19" t="s">
        <v>78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7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12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SUM(B3:B18)</f>
        <v>18197</v>
      </c>
      <c r="C20" s="15" t="s">
        <v>39</v>
      </c>
      <c r="D20" s="14">
        <f>SUM(D3:D16)</f>
        <v>16879</v>
      </c>
      <c r="I20" s="17">
        <f>F2/2</f>
        <v>21883</v>
      </c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H21" s="17" t="s">
        <v>90</v>
      </c>
      <c r="I21" s="17">
        <f>B2-B20</f>
        <v>6939</v>
      </c>
      <c r="J21" s="94">
        <f>I24-I21</f>
        <v>-2594</v>
      </c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0</v>
      </c>
      <c r="C22" s="19" t="s">
        <v>12</v>
      </c>
      <c r="D22" s="16">
        <v>0</v>
      </c>
      <c r="H22" s="17" t="s">
        <v>91</v>
      </c>
      <c r="I22" s="93">
        <f>D2-D20</f>
        <v>1751</v>
      </c>
      <c r="J22" s="17">
        <f>I24-I22</f>
        <v>2594</v>
      </c>
      <c r="N22" s="24"/>
      <c r="O22" s="24"/>
      <c r="P22" s="24"/>
      <c r="Q22" s="24"/>
      <c r="R22" s="24"/>
    </row>
    <row r="23" spans="1:18" s="17" customFormat="1" x14ac:dyDescent="0.2">
      <c r="A23" s="21" t="s">
        <v>87</v>
      </c>
      <c r="B23" s="77">
        <v>1614</v>
      </c>
      <c r="C23" s="19"/>
      <c r="D23" s="16"/>
      <c r="H23" s="17" t="s">
        <v>92</v>
      </c>
      <c r="I23" s="17">
        <f>I21+I22</f>
        <v>8690</v>
      </c>
      <c r="N23" s="24"/>
      <c r="O23" s="24"/>
      <c r="P23" s="24"/>
      <c r="Q23" s="24"/>
      <c r="R23" s="24"/>
    </row>
    <row r="24" spans="1:18" s="17" customFormat="1" x14ac:dyDescent="0.2">
      <c r="A24" s="21" t="s">
        <v>45</v>
      </c>
      <c r="B24" s="77">
        <v>0</v>
      </c>
      <c r="C24" s="19"/>
      <c r="D24" s="16"/>
      <c r="H24" s="17" t="s">
        <v>93</v>
      </c>
      <c r="I24" s="24">
        <f>I23/2</f>
        <v>4345</v>
      </c>
      <c r="J24" s="24"/>
    </row>
    <row r="25" spans="1:18" s="17" customFormat="1" ht="15" x14ac:dyDescent="0.25">
      <c r="A25" s="78" t="s">
        <v>83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1713</v>
      </c>
      <c r="C30" s="15" t="s">
        <v>49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50</v>
      </c>
      <c r="B31" s="77">
        <f>H9-B30</f>
        <v>2632</v>
      </c>
      <c r="C31" s="19" t="s">
        <v>50</v>
      </c>
      <c r="D31" s="16">
        <f>H9-D30</f>
        <v>3775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5226</v>
      </c>
      <c r="C32" s="15" t="s">
        <v>51</v>
      </c>
      <c r="D32" s="14">
        <f>(D2-D20)-D30</f>
        <v>1181</v>
      </c>
      <c r="F32" s="20"/>
      <c r="O32" s="30"/>
    </row>
    <row r="33" spans="1:15" s="17" customFormat="1" x14ac:dyDescent="0.2">
      <c r="A33" s="17" t="s">
        <v>52</v>
      </c>
      <c r="B33" s="77">
        <f>B31-B32</f>
        <v>-2594</v>
      </c>
      <c r="C33" s="19" t="s">
        <v>52</v>
      </c>
      <c r="D33" s="16">
        <f>D31-D32</f>
        <v>2594</v>
      </c>
      <c r="O33" s="30"/>
    </row>
    <row r="35" spans="1:15" s="17" customFormat="1" ht="15" x14ac:dyDescent="0.25">
      <c r="A35" s="17" t="s">
        <v>53</v>
      </c>
      <c r="B35" s="82">
        <f>(B32-B33)+B30</f>
        <v>9533</v>
      </c>
      <c r="C35" s="19" t="s">
        <v>53</v>
      </c>
      <c r="D35" s="14">
        <f>(D32-D33)+D30</f>
        <v>-843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A5C0-D611-47FB-99D6-094A98F632DE}">
  <dimension ref="A1:AMJ35"/>
  <sheetViews>
    <sheetView workbookViewId="0">
      <selection activeCell="B23" sqref="B23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0.125" style="17" bestFit="1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f>21824</f>
        <v>21824</v>
      </c>
      <c r="C2" s="33" t="s">
        <v>24</v>
      </c>
      <c r="D2" s="32">
        <f>6530+2650+12200</f>
        <v>21380</v>
      </c>
      <c r="F2" s="18">
        <f>B2+D2</f>
        <v>43204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99</v>
      </c>
      <c r="C3" s="86" t="s">
        <v>89</v>
      </c>
      <c r="D3" s="71">
        <v>315</v>
      </c>
      <c r="F3" s="47">
        <f>(F2-'25e Februari 2022'!F2)/F2</f>
        <v>-1.3008054809739839E-2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430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1400</v>
      </c>
      <c r="C6" s="22" t="s">
        <v>11</v>
      </c>
      <c r="D6" s="16">
        <f>1130+566</f>
        <v>1696</v>
      </c>
      <c r="F6" s="18">
        <f>D20+B20</f>
        <v>34642</v>
      </c>
      <c r="H6" s="18">
        <f>F2-F6</f>
        <v>8562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500</v>
      </c>
      <c r="C7" s="22" t="s">
        <v>27</v>
      </c>
      <c r="D7" s="16">
        <v>6500</v>
      </c>
      <c r="F7" s="48">
        <f>(F6-'25e Februari 2022'!F6)/F6</f>
        <v>-1.2528145026268691E-2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358</v>
      </c>
      <c r="C8" s="22" t="s">
        <v>12</v>
      </c>
      <c r="D8" s="16">
        <f>770+890+320+450+900+760</f>
        <v>4090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429</v>
      </c>
      <c r="C9" s="22" t="s">
        <v>31</v>
      </c>
      <c r="D9" s="16">
        <v>0</v>
      </c>
      <c r="F9" s="84">
        <f>F6-(('25e Maj'!F6+'25e Juni'!F6+'25e Juli'!F6+'25e Augusti'!F6+'25e September'!F6+'25e Oktober'!F6)/6)</f>
        <v>-967.5</v>
      </c>
      <c r="H9" s="18">
        <f>H6/2</f>
        <v>4281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1029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47</v>
      </c>
      <c r="C12" s="38" t="s">
        <v>64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94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13553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179</v>
      </c>
      <c r="C15" s="22" t="s">
        <v>34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36</v>
      </c>
      <c r="B16" s="77">
        <v>0</v>
      </c>
      <c r="C16" s="19" t="s">
        <v>78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21" t="s">
        <v>7</v>
      </c>
      <c r="B17" s="77">
        <v>65</v>
      </c>
      <c r="M17" s="24"/>
      <c r="N17" s="24"/>
      <c r="O17" s="24"/>
      <c r="P17" s="24"/>
      <c r="Q17" s="24"/>
      <c r="R17" s="24"/>
    </row>
    <row r="18" spans="1:18" s="17" customFormat="1" x14ac:dyDescent="0.2">
      <c r="A18" s="21" t="s">
        <v>12</v>
      </c>
      <c r="B18" s="77">
        <f>178+429</f>
        <v>607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SUM(B3:B18)</f>
        <v>19506</v>
      </c>
      <c r="C20" s="15" t="s">
        <v>39</v>
      </c>
      <c r="D20" s="14">
        <f>SUM(D3:D16)</f>
        <v>15136</v>
      </c>
      <c r="I20" s="17">
        <f>F2/2</f>
        <v>21602</v>
      </c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H21" s="17" t="s">
        <v>90</v>
      </c>
      <c r="I21" s="17">
        <f>B2-B20</f>
        <v>2318</v>
      </c>
      <c r="J21" s="94">
        <f>I24-I21</f>
        <v>1963</v>
      </c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0</v>
      </c>
      <c r="C22" s="19" t="s">
        <v>12</v>
      </c>
      <c r="D22" s="16">
        <v>0</v>
      </c>
      <c r="H22" s="17" t="s">
        <v>91</v>
      </c>
      <c r="I22" s="93">
        <f>D2-D20</f>
        <v>6244</v>
      </c>
      <c r="J22" s="17">
        <f>I24-I22</f>
        <v>-1963</v>
      </c>
      <c r="N22" s="24"/>
      <c r="O22" s="24"/>
      <c r="P22" s="24"/>
      <c r="Q22" s="24"/>
      <c r="R22" s="24"/>
    </row>
    <row r="23" spans="1:18" s="17" customFormat="1" x14ac:dyDescent="0.2">
      <c r="A23" s="21" t="s">
        <v>87</v>
      </c>
      <c r="B23" s="77">
        <v>807</v>
      </c>
      <c r="C23" s="19"/>
      <c r="D23" s="16"/>
      <c r="H23" s="17" t="s">
        <v>92</v>
      </c>
      <c r="I23" s="17">
        <f>I21+I22</f>
        <v>8562</v>
      </c>
      <c r="N23" s="24"/>
      <c r="O23" s="24"/>
      <c r="P23" s="24"/>
      <c r="Q23" s="24"/>
      <c r="R23" s="24"/>
    </row>
    <row r="24" spans="1:18" s="17" customFormat="1" x14ac:dyDescent="0.2">
      <c r="A24" s="21" t="s">
        <v>45</v>
      </c>
      <c r="B24" s="77">
        <v>839</v>
      </c>
      <c r="C24" s="19"/>
      <c r="D24" s="16"/>
      <c r="H24" s="17" t="s">
        <v>93</v>
      </c>
      <c r="I24" s="24">
        <f>I23/2</f>
        <v>4281</v>
      </c>
      <c r="J24" s="24"/>
    </row>
    <row r="25" spans="1:18" s="17" customFormat="1" ht="15" x14ac:dyDescent="0.25">
      <c r="A25" s="78" t="s">
        <v>83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1745</v>
      </c>
      <c r="C30" s="15" t="s">
        <v>49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50</v>
      </c>
      <c r="B31" s="77">
        <f>H9-B30</f>
        <v>2536</v>
      </c>
      <c r="C31" s="19" t="s">
        <v>50</v>
      </c>
      <c r="D31" s="16">
        <f>H9-D30</f>
        <v>3711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573</v>
      </c>
      <c r="C32" s="15" t="s">
        <v>51</v>
      </c>
      <c r="D32" s="14">
        <f>(D2-D20)-D30</f>
        <v>5674</v>
      </c>
      <c r="F32" s="20"/>
      <c r="O32" s="30"/>
    </row>
    <row r="33" spans="1:15" s="17" customFormat="1" x14ac:dyDescent="0.2">
      <c r="A33" s="17" t="s">
        <v>52</v>
      </c>
      <c r="B33" s="77">
        <f>B31-B32</f>
        <v>1963</v>
      </c>
      <c r="C33" s="19" t="s">
        <v>52</v>
      </c>
      <c r="D33" s="16">
        <f>D31-D32</f>
        <v>-1963</v>
      </c>
      <c r="O33" s="30"/>
    </row>
    <row r="35" spans="1:15" s="17" customFormat="1" ht="15" x14ac:dyDescent="0.25">
      <c r="A35" s="17" t="s">
        <v>53</v>
      </c>
      <c r="B35" s="82">
        <f>(B32-B33)+B30</f>
        <v>355</v>
      </c>
      <c r="C35" s="19" t="s">
        <v>53</v>
      </c>
      <c r="D35" s="14">
        <f>(D32-D33)+D30</f>
        <v>8207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B07D-95E5-4C14-9D2E-353728A0F805}">
  <dimension ref="A1:AMJ35"/>
  <sheetViews>
    <sheetView workbookViewId="0">
      <selection activeCell="T34" sqref="T34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v>40400</v>
      </c>
      <c r="C2" s="33" t="s">
        <v>24</v>
      </c>
      <c r="D2" s="32">
        <f>2650+17749+4600+2712</f>
        <v>27711</v>
      </c>
      <c r="F2" s="18">
        <f>B2+D2</f>
        <v>68111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99</v>
      </c>
      <c r="C3" s="86" t="s">
        <v>89</v>
      </c>
      <c r="D3" s="71">
        <v>0</v>
      </c>
      <c r="F3" s="48">
        <f>(F2-'25e Mars 2022'!F2)/F2</f>
        <v>0.3656824888784484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444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1400</v>
      </c>
      <c r="C6" s="22" t="s">
        <v>11</v>
      </c>
      <c r="D6" s="16">
        <f>1048+524</f>
        <v>1572</v>
      </c>
      <c r="F6" s="18">
        <f>D20+B20</f>
        <v>37833</v>
      </c>
      <c r="H6" s="18">
        <f>F2-F6</f>
        <v>30278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630</v>
      </c>
      <c r="C7" s="22" t="s">
        <v>27</v>
      </c>
      <c r="D7" s="16">
        <v>6500</v>
      </c>
      <c r="F7" s="47">
        <f>(F6-'25e Mars 2022'!F6)/F6</f>
        <v>8.4344355456876269E-2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358</v>
      </c>
      <c r="C8" s="22" t="s">
        <v>12</v>
      </c>
      <c r="D8" s="16">
        <f>360+650+760</f>
        <v>1770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429</v>
      </c>
      <c r="C9" s="22" t="s">
        <v>31</v>
      </c>
      <c r="D9" s="16">
        <v>0</v>
      </c>
      <c r="F9" s="84">
        <f>F6-(('25e Maj'!F6+'25e Juni'!F6+'25e Juli'!F6+'25e Augusti'!F6+'25e September'!F6+'25e Oktober'!F6)/6)</f>
        <v>2223.5</v>
      </c>
      <c r="H9" s="18">
        <f>H6/2</f>
        <v>15139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2454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139</v>
      </c>
      <c r="C12" s="38" t="s">
        <v>64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94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13736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179</v>
      </c>
      <c r="C15" s="22" t="s">
        <v>34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7</v>
      </c>
      <c r="B16" s="77">
        <v>65</v>
      </c>
      <c r="C16" s="19" t="s">
        <v>78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17" t="s">
        <v>95</v>
      </c>
      <c r="B17" s="77">
        <v>2978</v>
      </c>
      <c r="M17" s="24"/>
      <c r="N17" s="24"/>
      <c r="Q17" s="24"/>
      <c r="R17" s="24"/>
    </row>
    <row r="18" spans="1:18" s="17" customFormat="1" x14ac:dyDescent="0.2">
      <c r="A18" s="21" t="s">
        <v>12</v>
      </c>
      <c r="B18" s="77">
        <f>735</f>
        <v>735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36</v>
      </c>
      <c r="B19" s="77">
        <v>1000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SUM(B3:B19)</f>
        <v>25442</v>
      </c>
      <c r="C20" s="15" t="s">
        <v>39</v>
      </c>
      <c r="D20" s="14">
        <f>SUM(D3:D16)</f>
        <v>12391</v>
      </c>
      <c r="I20" s="39">
        <f>F2/2</f>
        <v>34055.5</v>
      </c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H21" s="17" t="s">
        <v>90</v>
      </c>
      <c r="I21" s="39">
        <f>B2-B20</f>
        <v>14958</v>
      </c>
      <c r="J21" s="39">
        <f>I24-I21</f>
        <v>181</v>
      </c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0</v>
      </c>
      <c r="C22" s="19" t="s">
        <v>12</v>
      </c>
      <c r="D22" s="16">
        <f>1031+133+120+170+433+454</f>
        <v>2341</v>
      </c>
      <c r="H22" s="17" t="s">
        <v>91</v>
      </c>
      <c r="I22" s="39">
        <f>D2-D20</f>
        <v>15320</v>
      </c>
      <c r="J22" s="39">
        <f>I24-I22</f>
        <v>-181</v>
      </c>
      <c r="N22" s="24"/>
      <c r="O22" s="24"/>
      <c r="P22" s="24"/>
      <c r="Q22" s="24"/>
      <c r="R22" s="24"/>
    </row>
    <row r="23" spans="1:18" s="17" customFormat="1" x14ac:dyDescent="0.2">
      <c r="A23" s="21" t="s">
        <v>87</v>
      </c>
      <c r="B23" s="77">
        <v>807</v>
      </c>
      <c r="C23" s="19"/>
      <c r="D23" s="16"/>
      <c r="H23" s="17" t="s">
        <v>92</v>
      </c>
      <c r="I23" s="39">
        <f>I21+I22</f>
        <v>30278</v>
      </c>
      <c r="N23" s="24"/>
      <c r="O23" s="24"/>
      <c r="P23" s="24"/>
      <c r="Q23" s="24"/>
      <c r="R23" s="24"/>
    </row>
    <row r="24" spans="1:18" s="17" customFormat="1" x14ac:dyDescent="0.2">
      <c r="A24" s="21" t="s">
        <v>45</v>
      </c>
      <c r="B24" s="77">
        <v>880</v>
      </c>
      <c r="C24" s="19"/>
      <c r="D24" s="16"/>
      <c r="H24" s="17" t="s">
        <v>93</v>
      </c>
      <c r="I24" s="39">
        <f>I23/2</f>
        <v>15139</v>
      </c>
      <c r="J24" s="24"/>
    </row>
    <row r="25" spans="1:18" s="17" customFormat="1" ht="15" x14ac:dyDescent="0.25">
      <c r="A25" s="78" t="s">
        <v>83</v>
      </c>
      <c r="B25" s="83">
        <v>2000</v>
      </c>
      <c r="C25" s="50"/>
      <c r="I25" s="75"/>
      <c r="J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3786</v>
      </c>
      <c r="C30" s="15" t="s">
        <v>49</v>
      </c>
      <c r="D30" s="14">
        <f>SUM(D21:D27)</f>
        <v>2911</v>
      </c>
      <c r="H30" s="20"/>
      <c r="I30" s="39"/>
      <c r="O30" s="30"/>
    </row>
    <row r="31" spans="1:18" s="17" customFormat="1" x14ac:dyDescent="0.2">
      <c r="A31" s="17" t="s">
        <v>50</v>
      </c>
      <c r="B31" s="77">
        <f>H9-B30</f>
        <v>11353</v>
      </c>
      <c r="C31" s="19" t="s">
        <v>50</v>
      </c>
      <c r="D31" s="16">
        <f>H9-D30</f>
        <v>12228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11172</v>
      </c>
      <c r="C32" s="15" t="s">
        <v>51</v>
      </c>
      <c r="D32" s="14">
        <f>(D2-D20)-D30</f>
        <v>12409</v>
      </c>
      <c r="F32" s="20"/>
      <c r="O32" s="30"/>
    </row>
    <row r="33" spans="1:15" s="17" customFormat="1" x14ac:dyDescent="0.2">
      <c r="A33" s="17" t="s">
        <v>52</v>
      </c>
      <c r="B33" s="77">
        <f>B31-B32</f>
        <v>181</v>
      </c>
      <c r="C33" s="19" t="s">
        <v>52</v>
      </c>
      <c r="D33" s="16">
        <f>D31-D32</f>
        <v>-181</v>
      </c>
      <c r="O33" s="30"/>
    </row>
    <row r="35" spans="1:15" s="17" customFormat="1" ht="15" x14ac:dyDescent="0.25">
      <c r="A35" s="17" t="s">
        <v>53</v>
      </c>
      <c r="B35" s="82">
        <f>(B32-B33)+B30</f>
        <v>14777</v>
      </c>
      <c r="C35" s="19" t="s">
        <v>53</v>
      </c>
      <c r="D35" s="14">
        <f>(D32-D33)+D30</f>
        <v>15501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4"/>
  <sheetViews>
    <sheetView workbookViewId="0">
      <selection activeCell="G28" sqref="G28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024" width="8.75" style="17" customWidth="1"/>
  </cols>
  <sheetData>
    <row r="1" spans="1:8" ht="21.6" customHeight="1" x14ac:dyDescent="0.2">
      <c r="A1" s="25" t="s">
        <v>13</v>
      </c>
      <c r="B1" s="25"/>
      <c r="C1" s="26" t="s">
        <v>14</v>
      </c>
      <c r="D1" s="27"/>
      <c r="F1" s="17" t="s">
        <v>23</v>
      </c>
    </row>
    <row r="2" spans="1:8" ht="15" x14ac:dyDescent="0.25">
      <c r="A2" s="31" t="s">
        <v>24</v>
      </c>
      <c r="B2" s="32">
        <v>26543</v>
      </c>
      <c r="C2" s="33" t="s">
        <v>24</v>
      </c>
      <c r="D2" s="32">
        <f>11880+2650+2500</f>
        <v>17030</v>
      </c>
      <c r="F2" s="18">
        <f>B2+D2</f>
        <v>43573</v>
      </c>
    </row>
    <row r="3" spans="1:8" ht="15" x14ac:dyDescent="0.25">
      <c r="A3" s="17" t="s">
        <v>25</v>
      </c>
      <c r="B3" s="16">
        <v>349</v>
      </c>
      <c r="C3" s="19" t="s">
        <v>25</v>
      </c>
      <c r="D3" s="16">
        <v>299</v>
      </c>
      <c r="F3" s="47" t="e">
        <f>(F2-Sparande!#REF!)/F2</f>
        <v>#REF!</v>
      </c>
      <c r="G3" s="13" t="s">
        <v>77</v>
      </c>
    </row>
    <row r="4" spans="1:8" x14ac:dyDescent="0.2">
      <c r="A4" s="17" t="s">
        <v>1</v>
      </c>
      <c r="B4" s="16">
        <v>638</v>
      </c>
      <c r="C4" s="19" t="s">
        <v>1</v>
      </c>
      <c r="D4" s="16">
        <v>349</v>
      </c>
    </row>
    <row r="5" spans="1:8" x14ac:dyDescent="0.2">
      <c r="A5" s="17" t="s">
        <v>26</v>
      </c>
      <c r="B5" s="16">
        <v>69</v>
      </c>
      <c r="C5" s="19" t="s">
        <v>9</v>
      </c>
      <c r="D5" s="16">
        <v>443</v>
      </c>
      <c r="F5" s="17" t="s">
        <v>37</v>
      </c>
      <c r="H5" s="17" t="s">
        <v>38</v>
      </c>
    </row>
    <row r="6" spans="1:8" ht="15" x14ac:dyDescent="0.25">
      <c r="A6" s="17" t="s">
        <v>6</v>
      </c>
      <c r="B6" s="16">
        <v>69</v>
      </c>
      <c r="C6" s="19" t="s">
        <v>11</v>
      </c>
      <c r="D6" s="16">
        <v>1141</v>
      </c>
      <c r="F6" s="18">
        <f>D20+B20</f>
        <v>33162</v>
      </c>
      <c r="H6" s="18">
        <f>F2-F6</f>
        <v>10411</v>
      </c>
    </row>
    <row r="7" spans="1:8" ht="15" x14ac:dyDescent="0.25">
      <c r="A7" s="17" t="s">
        <v>0</v>
      </c>
      <c r="B7" s="16">
        <v>1249</v>
      </c>
      <c r="C7" s="19" t="s">
        <v>27</v>
      </c>
      <c r="D7" s="16">
        <v>7000</v>
      </c>
      <c r="F7" s="48" t="e">
        <f>(F6-Sparande!#REF!)/F6</f>
        <v>#REF!</v>
      </c>
    </row>
    <row r="8" spans="1:8" x14ac:dyDescent="0.2">
      <c r="A8" s="17" t="s">
        <v>28</v>
      </c>
      <c r="B8" s="16">
        <v>590</v>
      </c>
      <c r="C8" s="19" t="s">
        <v>29</v>
      </c>
      <c r="D8" s="16">
        <v>627</v>
      </c>
      <c r="H8" s="17" t="s">
        <v>42</v>
      </c>
    </row>
    <row r="9" spans="1:8" ht="15" x14ac:dyDescent="0.25">
      <c r="A9" s="17" t="s">
        <v>30</v>
      </c>
      <c r="B9" s="16">
        <v>695</v>
      </c>
      <c r="C9" s="19" t="s">
        <v>31</v>
      </c>
      <c r="D9" s="16">
        <v>1146</v>
      </c>
      <c r="H9" s="18">
        <f>H6/2</f>
        <v>5205.5</v>
      </c>
    </row>
    <row r="10" spans="1:8" x14ac:dyDescent="0.2">
      <c r="A10" s="17" t="s">
        <v>32</v>
      </c>
      <c r="B10" s="16">
        <v>343</v>
      </c>
      <c r="C10" s="19" t="s">
        <v>10</v>
      </c>
      <c r="D10" s="16">
        <v>768</v>
      </c>
    </row>
    <row r="11" spans="1:8" x14ac:dyDescent="0.2">
      <c r="A11" s="17" t="s">
        <v>33</v>
      </c>
      <c r="B11" s="16">
        <v>385</v>
      </c>
      <c r="C11" s="19" t="s">
        <v>8</v>
      </c>
      <c r="D11" s="16">
        <v>132</v>
      </c>
    </row>
    <row r="12" spans="1:8" x14ac:dyDescent="0.2">
      <c r="A12" s="17" t="s">
        <v>3</v>
      </c>
      <c r="B12" s="16">
        <f>235+170</f>
        <v>405</v>
      </c>
      <c r="C12" s="19" t="s">
        <v>34</v>
      </c>
      <c r="D12" s="16">
        <v>1000</v>
      </c>
    </row>
    <row r="13" spans="1:8" x14ac:dyDescent="0.2">
      <c r="A13" s="17" t="s">
        <v>35</v>
      </c>
      <c r="B13" s="16">
        <v>686</v>
      </c>
    </row>
    <row r="14" spans="1:8" x14ac:dyDescent="0.2">
      <c r="A14" s="17" t="s">
        <v>2</v>
      </c>
      <c r="B14" s="16">
        <v>189</v>
      </c>
    </row>
    <row r="15" spans="1:8" x14ac:dyDescent="0.2">
      <c r="A15" s="17" t="s">
        <v>4</v>
      </c>
      <c r="B15" s="16">
        <v>13431</v>
      </c>
    </row>
    <row r="16" spans="1:8" x14ac:dyDescent="0.2">
      <c r="A16" s="17" t="s">
        <v>5</v>
      </c>
      <c r="B16" s="16">
        <v>159</v>
      </c>
    </row>
    <row r="17" spans="1:8" x14ac:dyDescent="0.2">
      <c r="A17" s="17" t="s">
        <v>36</v>
      </c>
      <c r="B17" s="16">
        <v>1000</v>
      </c>
    </row>
    <row r="20" spans="1:8" ht="15" x14ac:dyDescent="0.25">
      <c r="A20" s="15" t="s">
        <v>39</v>
      </c>
      <c r="B20" s="14">
        <f>SUM(B3:B17)</f>
        <v>20257</v>
      </c>
      <c r="C20" s="15" t="s">
        <v>39</v>
      </c>
      <c r="D20" s="14">
        <f>SUM(D3:D12)</f>
        <v>12905</v>
      </c>
    </row>
    <row r="21" spans="1:8" x14ac:dyDescent="0.2">
      <c r="A21" s="17" t="s">
        <v>40</v>
      </c>
      <c r="B21" s="16">
        <v>99</v>
      </c>
      <c r="C21" s="19" t="s">
        <v>41</v>
      </c>
      <c r="D21" s="16">
        <v>570</v>
      </c>
    </row>
    <row r="22" spans="1:8" x14ac:dyDescent="0.2">
      <c r="A22" s="17" t="s">
        <v>43</v>
      </c>
      <c r="B22" s="16">
        <v>67</v>
      </c>
      <c r="C22" s="19" t="s">
        <v>44</v>
      </c>
      <c r="D22" s="16">
        <v>275</v>
      </c>
    </row>
    <row r="23" spans="1:8" x14ac:dyDescent="0.2">
      <c r="A23" s="17" t="s">
        <v>45</v>
      </c>
      <c r="B23" s="16">
        <v>770</v>
      </c>
      <c r="C23" s="19" t="s">
        <v>47</v>
      </c>
      <c r="D23" s="16">
        <v>800</v>
      </c>
    </row>
    <row r="24" spans="1:8" x14ac:dyDescent="0.2">
      <c r="A24" s="17" t="s">
        <v>46</v>
      </c>
      <c r="B24" s="16">
        <v>2000</v>
      </c>
    </row>
    <row r="25" spans="1:8" x14ac:dyDescent="0.2">
      <c r="A25" s="17" t="s">
        <v>47</v>
      </c>
      <c r="B25" s="16">
        <v>800</v>
      </c>
    </row>
    <row r="26" spans="1:8" x14ac:dyDescent="0.2">
      <c r="A26" s="17" t="s">
        <v>48</v>
      </c>
      <c r="B26" s="16">
        <f>35+40</f>
        <v>75</v>
      </c>
    </row>
    <row r="29" spans="1:8" ht="15" x14ac:dyDescent="0.25">
      <c r="A29" s="13" t="s">
        <v>49</v>
      </c>
      <c r="B29" s="14">
        <f>SUM(B21:B28)</f>
        <v>3811</v>
      </c>
      <c r="C29" s="15" t="s">
        <v>49</v>
      </c>
      <c r="D29" s="14">
        <f>SUM(D21:D28)</f>
        <v>1645</v>
      </c>
      <c r="H29" s="20"/>
    </row>
    <row r="30" spans="1:8" x14ac:dyDescent="0.2">
      <c r="A30" s="17" t="s">
        <v>50</v>
      </c>
      <c r="B30" s="16">
        <f>H9-B29</f>
        <v>1394.5</v>
      </c>
      <c r="C30" s="19" t="s">
        <v>50</v>
      </c>
      <c r="D30" s="16">
        <f>H9-D29</f>
        <v>3560.5</v>
      </c>
    </row>
    <row r="31" spans="1:8" ht="15" x14ac:dyDescent="0.25">
      <c r="A31" s="13" t="s">
        <v>51</v>
      </c>
      <c r="B31" s="14">
        <f>B2-B20-B29</f>
        <v>2475</v>
      </c>
      <c r="C31" s="15" t="s">
        <v>51</v>
      </c>
      <c r="D31" s="14">
        <f>D2-D20-D29</f>
        <v>2480</v>
      </c>
      <c r="F31" s="20"/>
    </row>
    <row r="32" spans="1:8" x14ac:dyDescent="0.2">
      <c r="A32" s="17" t="s">
        <v>52</v>
      </c>
      <c r="B32" s="16">
        <f>B31-B30</f>
        <v>1080.5</v>
      </c>
      <c r="C32" s="19" t="s">
        <v>52</v>
      </c>
      <c r="D32" s="16">
        <f>D31-D30</f>
        <v>-1080.5</v>
      </c>
    </row>
    <row r="34" spans="1:4" ht="15" x14ac:dyDescent="0.25">
      <c r="A34" s="17" t="s">
        <v>53</v>
      </c>
      <c r="B34" s="14">
        <f>(B31-B32)+B29</f>
        <v>5205.5</v>
      </c>
      <c r="C34" s="19" t="s">
        <v>53</v>
      </c>
      <c r="D34" s="14">
        <f>(D31-D32)+D29</f>
        <v>5205.5</v>
      </c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0241-413B-4469-836C-CDEFBB90FB7F}">
  <dimension ref="A1:AMJ35"/>
  <sheetViews>
    <sheetView workbookViewId="0">
      <selection activeCell="P16" sqref="P1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f>21063+3024</f>
        <v>24087</v>
      </c>
      <c r="C2" s="33" t="s">
        <v>24</v>
      </c>
      <c r="D2" s="32">
        <f>2650+678+14850</f>
        <v>18178</v>
      </c>
      <c r="F2" s="18">
        <f>B2+D2</f>
        <v>42265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99</v>
      </c>
      <c r="C3" s="86" t="s">
        <v>89</v>
      </c>
      <c r="D3" s="71">
        <v>0</v>
      </c>
      <c r="F3" s="47">
        <f>(F2-'25e April 2022'!F2)/F2</f>
        <v>-0.61152253637761744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444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1800</v>
      </c>
      <c r="C6" s="22" t="s">
        <v>11</v>
      </c>
      <c r="D6" s="16">
        <f>1048+524</f>
        <v>1572</v>
      </c>
      <c r="F6" s="18">
        <f>D20+B20</f>
        <v>36943</v>
      </c>
      <c r="H6" s="18">
        <f>F2-F6</f>
        <v>5322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613</v>
      </c>
      <c r="C7" s="22" t="s">
        <v>27</v>
      </c>
      <c r="D7" s="16">
        <v>7000</v>
      </c>
      <c r="F7" s="48">
        <f>(F6-'25e April 2022'!F6)/F6</f>
        <v>-2.4091167474217037E-2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678</v>
      </c>
      <c r="C8" s="22" t="s">
        <v>12</v>
      </c>
      <c r="D8" s="16">
        <f>505+419+277+260+740+580</f>
        <v>2781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434</v>
      </c>
      <c r="C9" s="22" t="s">
        <v>31</v>
      </c>
      <c r="D9" s="16">
        <v>0</v>
      </c>
      <c r="F9" s="84">
        <f>F6-(('25e Maj'!F6+'25e Juni'!F6+'25e Juli'!F6+'25e Augusti'!F6+'25e September'!F6+'25e Oktober'!F6)/6)</f>
        <v>1333.5</v>
      </c>
      <c r="H9" s="18">
        <f>H6/2</f>
        <v>2661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1306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f>422+31</f>
        <v>453</v>
      </c>
      <c r="C12" s="38" t="s">
        <v>64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94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13714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179</v>
      </c>
      <c r="C15" s="22" t="s">
        <v>34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7</v>
      </c>
      <c r="B16" s="77">
        <v>65</v>
      </c>
      <c r="C16" s="19" t="s">
        <v>78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17" t="s">
        <v>95</v>
      </c>
      <c r="B17" s="77">
        <v>2266</v>
      </c>
      <c r="M17" s="24"/>
      <c r="N17" s="24"/>
      <c r="Q17" s="24"/>
      <c r="R17" s="24"/>
    </row>
    <row r="18" spans="1:18" s="17" customFormat="1" x14ac:dyDescent="0.2">
      <c r="A18" s="21" t="s">
        <v>12</v>
      </c>
      <c r="B18" s="77">
        <f>149+28+4+13</f>
        <v>194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36</v>
      </c>
      <c r="B19" s="77">
        <v>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SUM(B3:B19)</f>
        <v>23041</v>
      </c>
      <c r="C20" s="15" t="s">
        <v>39</v>
      </c>
      <c r="D20" s="14">
        <f>SUM(D3:D16)</f>
        <v>13902</v>
      </c>
      <c r="I20" s="39">
        <f>F2/2</f>
        <v>21132.5</v>
      </c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H21" s="17" t="s">
        <v>90</v>
      </c>
      <c r="I21" s="39">
        <f>B2-B20</f>
        <v>1046</v>
      </c>
      <c r="J21" s="39">
        <f>I24-I21</f>
        <v>1615</v>
      </c>
      <c r="N21" s="24"/>
      <c r="O21" s="24"/>
      <c r="P21" s="24"/>
      <c r="Q21" s="24"/>
      <c r="R21" s="24"/>
    </row>
    <row r="22" spans="1:18" s="17" customFormat="1" x14ac:dyDescent="0.2">
      <c r="A22" s="21" t="s">
        <v>101</v>
      </c>
      <c r="B22" s="77">
        <f>139+95</f>
        <v>234</v>
      </c>
      <c r="C22" s="19" t="s">
        <v>12</v>
      </c>
      <c r="D22" s="16">
        <v>0</v>
      </c>
      <c r="H22" s="17" t="s">
        <v>91</v>
      </c>
      <c r="I22" s="39">
        <f>D2-D20</f>
        <v>4276</v>
      </c>
      <c r="J22" s="39">
        <f>I24-I22</f>
        <v>-1615</v>
      </c>
      <c r="N22" s="24"/>
      <c r="O22" s="24"/>
      <c r="P22" s="24"/>
      <c r="Q22" s="24"/>
      <c r="R22" s="24"/>
    </row>
    <row r="23" spans="1:18" s="17" customFormat="1" x14ac:dyDescent="0.2">
      <c r="A23" s="21" t="s">
        <v>87</v>
      </c>
      <c r="B23" s="77">
        <f>807+159+39+50+26+89+99+135+95</f>
        <v>1499</v>
      </c>
      <c r="C23" s="19"/>
      <c r="D23" s="16"/>
      <c r="H23" s="17" t="s">
        <v>92</v>
      </c>
      <c r="I23" s="39">
        <f>I21+I22</f>
        <v>5322</v>
      </c>
      <c r="N23" s="24"/>
      <c r="O23" s="24"/>
      <c r="P23" s="24"/>
      <c r="Q23" s="24"/>
      <c r="R23" s="24"/>
    </row>
    <row r="24" spans="1:18" s="17" customFormat="1" x14ac:dyDescent="0.2">
      <c r="A24" s="21" t="s">
        <v>45</v>
      </c>
      <c r="B24" s="77">
        <v>800</v>
      </c>
      <c r="C24" s="19"/>
      <c r="D24" s="16"/>
      <c r="H24" s="17" t="s">
        <v>93</v>
      </c>
      <c r="I24" s="39">
        <f>I23/2</f>
        <v>2661</v>
      </c>
      <c r="J24" s="24"/>
    </row>
    <row r="25" spans="1:18" s="17" customFormat="1" ht="15" x14ac:dyDescent="0.25">
      <c r="A25" s="78" t="s">
        <v>83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2632</v>
      </c>
      <c r="C30" s="15" t="s">
        <v>49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50</v>
      </c>
      <c r="B31" s="77">
        <f>H9-B30</f>
        <v>29</v>
      </c>
      <c r="C31" s="19" t="s">
        <v>50</v>
      </c>
      <c r="D31" s="16">
        <f>H9-D30</f>
        <v>2091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-1586</v>
      </c>
      <c r="C32" s="15" t="s">
        <v>51</v>
      </c>
      <c r="D32" s="14">
        <f>(D2-D20)-D30</f>
        <v>3706</v>
      </c>
      <c r="F32" s="20"/>
      <c r="O32" s="30"/>
    </row>
    <row r="33" spans="1:15" s="17" customFormat="1" x14ac:dyDescent="0.2">
      <c r="A33" s="17" t="s">
        <v>52</v>
      </c>
      <c r="B33" s="77">
        <f>B31-B32</f>
        <v>1615</v>
      </c>
      <c r="C33" s="19" t="s">
        <v>52</v>
      </c>
      <c r="D33" s="16">
        <f>D31-D32</f>
        <v>-1615</v>
      </c>
      <c r="O33" s="30"/>
    </row>
    <row r="35" spans="1:15" s="17" customFormat="1" ht="15" x14ac:dyDescent="0.25">
      <c r="A35" s="17" t="s">
        <v>53</v>
      </c>
      <c r="B35" s="82">
        <f>(B32-B33)+B30</f>
        <v>-569</v>
      </c>
      <c r="C35" s="19" t="s">
        <v>53</v>
      </c>
      <c r="D35" s="14">
        <f>(D32-D33)+D30</f>
        <v>5891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D2BF-572B-4E3C-BEA2-A6115EBE4DB8}">
  <dimension ref="A1:AMJ35"/>
  <sheetViews>
    <sheetView workbookViewId="0">
      <selection activeCell="B21" sqref="B21:B23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v>31326</v>
      </c>
      <c r="C2" s="33" t="s">
        <v>24</v>
      </c>
      <c r="D2" s="32">
        <f>19695+2650</f>
        <v>22345</v>
      </c>
      <c r="F2" s="18">
        <f>B2+D2</f>
        <v>53671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99</v>
      </c>
      <c r="C3" s="86" t="s">
        <v>89</v>
      </c>
      <c r="D3" s="71">
        <v>315</v>
      </c>
      <c r="F3" s="48">
        <f>(F2-'25e Maj 2022'!F2)/F2</f>
        <v>0.21251700173277935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f>291+144</f>
        <v>435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1800</v>
      </c>
      <c r="C6" s="22" t="s">
        <v>103</v>
      </c>
      <c r="D6" s="16">
        <f>1048+524</f>
        <v>1572</v>
      </c>
      <c r="F6" s="18">
        <f>D20+B20</f>
        <v>40114</v>
      </c>
      <c r="H6" s="18">
        <f>F2-F6</f>
        <v>13557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597</v>
      </c>
      <c r="C7" s="22" t="s">
        <v>27</v>
      </c>
      <c r="D7" s="16">
        <v>7000</v>
      </c>
      <c r="F7" s="47">
        <f>(F6-'25e Maj 2022'!F6)/F6</f>
        <v>7.9049708331255922E-2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678</v>
      </c>
      <c r="C8" s="22" t="s">
        <v>12</v>
      </c>
      <c r="D8" s="16">
        <f>259+330+1250+320</f>
        <v>2159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434</v>
      </c>
      <c r="C9" s="22" t="s">
        <v>31</v>
      </c>
      <c r="D9" s="16">
        <v>1238</v>
      </c>
      <c r="F9" s="84">
        <f>F6-(('25e Maj'!F6+'25e Juni'!F6+'25e Juli'!F6+'25e Augusti'!F6+'25e September'!F6+'25e Oktober'!F6)/6)</f>
        <v>4504.5</v>
      </c>
      <c r="H9" s="18">
        <f>H6/2</f>
        <v>6778.5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479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2487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255</v>
      </c>
      <c r="C12" s="38" t="s">
        <v>64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94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13811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179</v>
      </c>
      <c r="C15" s="22" t="s">
        <v>34</v>
      </c>
      <c r="D15" s="16">
        <v>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7</v>
      </c>
      <c r="B16" s="77">
        <v>65</v>
      </c>
      <c r="C16" s="19" t="s">
        <v>78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17" t="s">
        <v>95</v>
      </c>
      <c r="B17" s="77">
        <v>2312</v>
      </c>
      <c r="M17" s="24"/>
      <c r="N17" s="24"/>
      <c r="Q17" s="24"/>
      <c r="R17" s="24"/>
    </row>
    <row r="18" spans="1:18" s="17" customFormat="1" x14ac:dyDescent="0.2">
      <c r="A18" s="21" t="s">
        <v>12</v>
      </c>
      <c r="B18" s="77">
        <f>429+99+805</f>
        <v>1333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36</v>
      </c>
      <c r="B19" s="77">
        <v>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SUM(B3:B19)</f>
        <v>25290</v>
      </c>
      <c r="C20" s="15" t="s">
        <v>39</v>
      </c>
      <c r="D20" s="14">
        <f>SUM(D3:D16)</f>
        <v>14824</v>
      </c>
      <c r="I20" s="39">
        <f>F2/2</f>
        <v>26835.5</v>
      </c>
      <c r="N20" s="24"/>
      <c r="O20" s="24"/>
      <c r="P20" s="24"/>
      <c r="Q20" s="24"/>
      <c r="R20" s="24"/>
    </row>
    <row r="21" spans="1:18" s="17" customFormat="1" x14ac:dyDescent="0.2">
      <c r="A21" s="21" t="s">
        <v>101</v>
      </c>
      <c r="B21" s="77">
        <f>218+138+95</f>
        <v>451</v>
      </c>
      <c r="C21" s="19" t="s">
        <v>41</v>
      </c>
      <c r="D21" s="16">
        <v>570</v>
      </c>
      <c r="H21" s="17" t="s">
        <v>90</v>
      </c>
      <c r="I21" s="39">
        <f>B2-B20</f>
        <v>6036</v>
      </c>
      <c r="J21" s="39">
        <f>I24-I21</f>
        <v>742.5</v>
      </c>
      <c r="N21" s="24"/>
      <c r="O21" s="24"/>
      <c r="P21" s="24"/>
      <c r="Q21" s="24"/>
      <c r="R21" s="24"/>
    </row>
    <row r="22" spans="1:18" s="17" customFormat="1" x14ac:dyDescent="0.2">
      <c r="A22" s="21" t="s">
        <v>87</v>
      </c>
      <c r="B22" s="77">
        <v>1890</v>
      </c>
      <c r="C22" s="19" t="s">
        <v>12</v>
      </c>
      <c r="D22" s="16">
        <f>75+480</f>
        <v>555</v>
      </c>
      <c r="H22" s="17" t="s">
        <v>91</v>
      </c>
      <c r="I22" s="39">
        <f>D2-D20</f>
        <v>7521</v>
      </c>
      <c r="J22" s="39">
        <f>I24-I22</f>
        <v>-742.5</v>
      </c>
      <c r="N22" s="24"/>
      <c r="O22" s="24"/>
      <c r="P22" s="24"/>
      <c r="Q22" s="24"/>
      <c r="R22" s="24"/>
    </row>
    <row r="23" spans="1:18" s="17" customFormat="1" x14ac:dyDescent="0.2">
      <c r="A23" s="21" t="s">
        <v>45</v>
      </c>
      <c r="B23" s="77">
        <v>879</v>
      </c>
      <c r="C23" s="19"/>
      <c r="D23" s="16"/>
      <c r="H23" s="17" t="s">
        <v>92</v>
      </c>
      <c r="I23" s="39">
        <f>I21+I22</f>
        <v>13557</v>
      </c>
      <c r="N23" s="24"/>
      <c r="O23" s="24"/>
      <c r="P23" s="24"/>
      <c r="Q23" s="24"/>
      <c r="R23" s="24"/>
    </row>
    <row r="24" spans="1:18" s="17" customFormat="1" x14ac:dyDescent="0.2">
      <c r="C24" s="19"/>
      <c r="D24" s="16"/>
      <c r="H24" s="17" t="s">
        <v>93</v>
      </c>
      <c r="I24" s="39">
        <f>I23/2</f>
        <v>6778.5</v>
      </c>
      <c r="J24" s="24"/>
    </row>
    <row r="25" spans="1:18" s="17" customFormat="1" ht="15" x14ac:dyDescent="0.25">
      <c r="A25" s="78" t="s">
        <v>83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3220</v>
      </c>
      <c r="C30" s="15" t="s">
        <v>49</v>
      </c>
      <c r="D30" s="14">
        <f>SUM(D21:D27)</f>
        <v>1125</v>
      </c>
      <c r="H30" s="20"/>
      <c r="I30" s="39"/>
      <c r="O30" s="30"/>
    </row>
    <row r="31" spans="1:18" s="17" customFormat="1" x14ac:dyDescent="0.2">
      <c r="A31" s="17" t="s">
        <v>50</v>
      </c>
      <c r="B31" s="77">
        <f>H9-B30</f>
        <v>3558.5</v>
      </c>
      <c r="C31" s="19" t="s">
        <v>50</v>
      </c>
      <c r="D31" s="16">
        <f>H9-D30</f>
        <v>5653.5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2816</v>
      </c>
      <c r="C32" s="15" t="s">
        <v>51</v>
      </c>
      <c r="D32" s="14">
        <f>(D2-D20)-D30</f>
        <v>6396</v>
      </c>
      <c r="F32" s="20"/>
      <c r="O32" s="30"/>
    </row>
    <row r="33" spans="1:15" s="17" customFormat="1" x14ac:dyDescent="0.2">
      <c r="A33" s="17" t="s">
        <v>52</v>
      </c>
      <c r="B33" s="77">
        <f>B31-B32</f>
        <v>742.5</v>
      </c>
      <c r="C33" s="19" t="s">
        <v>52</v>
      </c>
      <c r="D33" s="16">
        <f>D31-D32</f>
        <v>-742.5</v>
      </c>
      <c r="O33" s="30"/>
    </row>
    <row r="35" spans="1:15" s="17" customFormat="1" ht="15" x14ac:dyDescent="0.25">
      <c r="A35" s="17" t="s">
        <v>53</v>
      </c>
      <c r="B35" s="82">
        <f>(B32-B33)+B30</f>
        <v>5293.5</v>
      </c>
      <c r="C35" s="19" t="s">
        <v>53</v>
      </c>
      <c r="D35" s="14">
        <f>(D32-D33)+D30</f>
        <v>8263.5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79DE-549F-4DDA-8990-FF383569321E}">
  <dimension ref="A1:AMJ35"/>
  <sheetViews>
    <sheetView tabSelected="1" workbookViewId="0">
      <selection activeCell="O26" sqref="O26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v>25349</v>
      </c>
      <c r="C2" s="33" t="s">
        <v>24</v>
      </c>
      <c r="D2" s="32">
        <f>2650+1356+18742</f>
        <v>22748</v>
      </c>
      <c r="F2" s="18">
        <f>B2+D2</f>
        <v>48097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99</v>
      </c>
      <c r="C3" s="86" t="s">
        <v>89</v>
      </c>
      <c r="D3" s="71">
        <v>0</v>
      </c>
      <c r="F3" s="47">
        <f>(F2-'25e Juni 2022'!F2)/F2</f>
        <v>-0.11589080400024949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759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410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1800</v>
      </c>
      <c r="C6" s="22" t="s">
        <v>103</v>
      </c>
      <c r="D6" s="16">
        <f>1048+524</f>
        <v>1572</v>
      </c>
      <c r="F6" s="18">
        <f>D20+B20</f>
        <v>37111</v>
      </c>
      <c r="H6" s="18">
        <f>F2-F6</f>
        <v>10986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581</v>
      </c>
      <c r="C7" s="22" t="s">
        <v>27</v>
      </c>
      <c r="D7" s="16">
        <v>7000</v>
      </c>
      <c r="F7" s="48">
        <f>(F6-'25e Juni 2022'!F6)/F6</f>
        <v>-8.0919403950311233E-2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678</v>
      </c>
      <c r="C8" s="22" t="s">
        <v>12</v>
      </c>
      <c r="D8" s="16">
        <v>0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434</v>
      </c>
      <c r="C9" s="22" t="s">
        <v>31</v>
      </c>
      <c r="D9" s="16">
        <v>0</v>
      </c>
      <c r="F9" s="84">
        <f>F6-(('25e Maj'!F6+'25e Juni'!F6+'25e Juli'!F6+'25e Augusti'!F6+'25e September'!F6+'25e Oktober'!F6)/6)</f>
        <v>1501.5</v>
      </c>
      <c r="H9" s="18">
        <f>H6/2</f>
        <v>5493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499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2296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407</v>
      </c>
      <c r="C12" s="38" t="s">
        <v>64</v>
      </c>
      <c r="D12" s="16">
        <v>631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94</v>
      </c>
      <c r="D13" s="16">
        <v>246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13769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179</v>
      </c>
      <c r="C15" s="22" t="s">
        <v>34</v>
      </c>
      <c r="D15" s="16">
        <v>2000</v>
      </c>
      <c r="M15" s="24"/>
      <c r="N15" s="24"/>
      <c r="O15" s="52"/>
      <c r="P15" s="52"/>
      <c r="Q15" s="53"/>
      <c r="R15" s="24"/>
    </row>
    <row r="16" spans="1:18" ht="15" x14ac:dyDescent="0.25">
      <c r="A16" s="21" t="s">
        <v>7</v>
      </c>
      <c r="B16" s="77">
        <v>65</v>
      </c>
      <c r="C16" s="19" t="s">
        <v>78</v>
      </c>
      <c r="D16" s="16">
        <v>0</v>
      </c>
      <c r="L16" s="18"/>
      <c r="M16" s="24"/>
      <c r="N16" s="24"/>
      <c r="O16" s="24"/>
      <c r="P16" s="24"/>
      <c r="Q16" s="24"/>
      <c r="R16" s="24"/>
    </row>
    <row r="17" spans="1:18" x14ac:dyDescent="0.2">
      <c r="A17" s="97" t="s">
        <v>95</v>
      </c>
      <c r="B17" s="77">
        <v>2426</v>
      </c>
      <c r="M17" s="24"/>
      <c r="N17" s="24"/>
      <c r="Q17" s="24"/>
      <c r="R17" s="24"/>
    </row>
    <row r="18" spans="1:18" s="17" customFormat="1" x14ac:dyDescent="0.2">
      <c r="A18" s="21" t="s">
        <v>12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36</v>
      </c>
      <c r="B19" s="77">
        <v>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SUM(B3:B19)</f>
        <v>24004</v>
      </c>
      <c r="C20" s="15" t="s">
        <v>39</v>
      </c>
      <c r="D20" s="14">
        <f>SUM(D3:D16)</f>
        <v>13107</v>
      </c>
      <c r="I20" s="39">
        <f>F2/2</f>
        <v>24048.5</v>
      </c>
      <c r="N20" s="24"/>
      <c r="O20" s="24"/>
      <c r="P20" s="24"/>
      <c r="Q20" s="24"/>
      <c r="R20" s="24"/>
    </row>
    <row r="21" spans="1:18" s="17" customFormat="1" x14ac:dyDescent="0.2">
      <c r="A21" s="21" t="s">
        <v>101</v>
      </c>
      <c r="B21" s="77">
        <f>218+138+95</f>
        <v>451</v>
      </c>
      <c r="C21" s="19" t="s">
        <v>41</v>
      </c>
      <c r="D21" s="16">
        <v>570</v>
      </c>
      <c r="H21" s="17" t="s">
        <v>90</v>
      </c>
      <c r="I21" s="39">
        <f>B2-B20</f>
        <v>1345</v>
      </c>
      <c r="J21" s="39">
        <f>I24-I21</f>
        <v>4148</v>
      </c>
      <c r="N21" s="24"/>
      <c r="O21" s="24"/>
      <c r="P21" s="24"/>
      <c r="Q21" s="24"/>
      <c r="R21" s="24"/>
    </row>
    <row r="22" spans="1:18" s="17" customFormat="1" x14ac:dyDescent="0.2">
      <c r="A22" s="21" t="s">
        <v>87</v>
      </c>
      <c r="B22" s="77">
        <v>0</v>
      </c>
      <c r="C22" s="19" t="s">
        <v>12</v>
      </c>
      <c r="D22" s="16">
        <v>0</v>
      </c>
      <c r="H22" s="17" t="s">
        <v>91</v>
      </c>
      <c r="I22" s="39">
        <f>D2-D20</f>
        <v>9641</v>
      </c>
      <c r="J22" s="39">
        <f>I24-I22</f>
        <v>-4148</v>
      </c>
      <c r="N22" s="24"/>
      <c r="O22" s="24"/>
      <c r="P22" s="24"/>
      <c r="Q22" s="24"/>
      <c r="R22" s="24"/>
    </row>
    <row r="23" spans="1:18" s="17" customFormat="1" ht="15" x14ac:dyDescent="0.25">
      <c r="A23" s="95" t="s">
        <v>45</v>
      </c>
      <c r="B23" s="82">
        <v>880</v>
      </c>
      <c r="C23" s="19"/>
      <c r="D23" s="16"/>
      <c r="H23" s="17" t="s">
        <v>92</v>
      </c>
      <c r="I23" s="39">
        <f>I21+I22</f>
        <v>10986</v>
      </c>
      <c r="N23" s="24"/>
      <c r="O23" s="24"/>
      <c r="P23" s="24"/>
      <c r="Q23" s="24"/>
      <c r="R23" s="24"/>
    </row>
    <row r="24" spans="1:18" s="17" customFormat="1" x14ac:dyDescent="0.2">
      <c r="C24" s="19"/>
      <c r="D24" s="16"/>
      <c r="H24" s="17" t="s">
        <v>93</v>
      </c>
      <c r="I24" s="39">
        <f>I23/2</f>
        <v>5493</v>
      </c>
      <c r="J24" s="24"/>
    </row>
    <row r="25" spans="1:18" s="17" customFormat="1" ht="15" x14ac:dyDescent="0.25">
      <c r="A25" s="78" t="s">
        <v>83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1331</v>
      </c>
      <c r="C30" s="15" t="s">
        <v>49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50</v>
      </c>
      <c r="B31" s="77">
        <f>H9-B30</f>
        <v>4162</v>
      </c>
      <c r="C31" s="19" t="s">
        <v>50</v>
      </c>
      <c r="D31" s="16">
        <f>H9-D30</f>
        <v>4923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14</v>
      </c>
      <c r="C32" s="15" t="s">
        <v>51</v>
      </c>
      <c r="D32" s="14">
        <f>(D2-D20)-D30</f>
        <v>9071</v>
      </c>
      <c r="F32" s="20"/>
      <c r="O32" s="30"/>
    </row>
    <row r="33" spans="1:15" s="17" customFormat="1" x14ac:dyDescent="0.2">
      <c r="A33" s="17" t="s">
        <v>52</v>
      </c>
      <c r="B33" s="77">
        <f>B31-B32</f>
        <v>4148</v>
      </c>
      <c r="C33" s="19" t="s">
        <v>52</v>
      </c>
      <c r="D33" s="16">
        <f>D31-D32</f>
        <v>-4148</v>
      </c>
      <c r="O33" s="30"/>
    </row>
    <row r="35" spans="1:15" s="17" customFormat="1" ht="15" x14ac:dyDescent="0.25">
      <c r="A35" s="17" t="s">
        <v>53</v>
      </c>
      <c r="B35" s="82">
        <f>(B32-B33)+B30</f>
        <v>-2803</v>
      </c>
      <c r="C35" s="19" t="s">
        <v>53</v>
      </c>
      <c r="D35" s="14">
        <f>(D32-D33)+D30</f>
        <v>13789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EZ31"/>
  <sheetViews>
    <sheetView workbookViewId="0">
      <selection activeCell="J23" sqref="J23"/>
    </sheetView>
  </sheetViews>
  <sheetFormatPr defaultRowHeight="14.25" x14ac:dyDescent="0.2"/>
  <cols>
    <col min="1" max="1" width="10.375" style="40" customWidth="1"/>
    <col min="2" max="2" width="13.5" style="30" customWidth="1"/>
    <col min="3" max="3" width="10.375" style="44" customWidth="1"/>
    <col min="4" max="4" width="13.5" style="30" customWidth="1"/>
    <col min="5" max="5" width="11.125" style="44" customWidth="1"/>
    <col min="6" max="6" width="16.75" style="17" customWidth="1"/>
    <col min="7" max="7" width="11.125" style="57" bestFit="1" customWidth="1"/>
    <col min="8" max="1020" width="8.75" style="17" customWidth="1"/>
    <col min="16381" max="16384" width="9" style="17"/>
  </cols>
  <sheetData>
    <row r="1" spans="1:7" x14ac:dyDescent="0.2">
      <c r="A1" s="40" t="s">
        <v>76</v>
      </c>
      <c r="C1" s="44" t="s">
        <v>72</v>
      </c>
      <c r="E1" s="44" t="s">
        <v>17</v>
      </c>
      <c r="G1" s="58"/>
    </row>
    <row r="2" spans="1:7" x14ac:dyDescent="0.2">
      <c r="A2" s="41" t="s">
        <v>73</v>
      </c>
      <c r="B2" s="42" t="s">
        <v>74</v>
      </c>
      <c r="C2" s="45" t="s">
        <v>73</v>
      </c>
      <c r="D2" s="42" t="s">
        <v>74</v>
      </c>
      <c r="E2" s="45" t="s">
        <v>73</v>
      </c>
      <c r="F2" s="43" t="s">
        <v>75</v>
      </c>
      <c r="G2" s="58"/>
    </row>
    <row r="3" spans="1:7" x14ac:dyDescent="0.2">
      <c r="A3" s="40">
        <v>44160</v>
      </c>
      <c r="B3" s="30">
        <v>5579</v>
      </c>
      <c r="C3" s="44">
        <v>44165</v>
      </c>
      <c r="D3" s="30">
        <v>1000</v>
      </c>
      <c r="E3" s="44">
        <v>44165</v>
      </c>
      <c r="F3" s="39">
        <f t="shared" ref="F3:F22" si="0">D3+B3</f>
        <v>6579</v>
      </c>
      <c r="G3" s="58"/>
    </row>
    <row r="4" spans="1:7" x14ac:dyDescent="0.2">
      <c r="A4" s="40">
        <v>44190</v>
      </c>
      <c r="B4" s="30">
        <f>6500+650</f>
        <v>7150</v>
      </c>
      <c r="C4" s="44">
        <v>44193</v>
      </c>
      <c r="D4" s="30">
        <v>1149</v>
      </c>
      <c r="E4" s="44">
        <v>44193</v>
      </c>
      <c r="F4" s="39">
        <f t="shared" si="0"/>
        <v>8299</v>
      </c>
      <c r="G4" s="57">
        <f>F4-F3</f>
        <v>1720</v>
      </c>
    </row>
    <row r="5" spans="1:7" x14ac:dyDescent="0.2">
      <c r="A5" s="40">
        <v>44206</v>
      </c>
      <c r="B5" s="30">
        <v>6500</v>
      </c>
      <c r="C5" s="44">
        <v>44206</v>
      </c>
      <c r="D5" s="30">
        <v>1052</v>
      </c>
      <c r="E5" s="44">
        <v>44206</v>
      </c>
      <c r="F5" s="39">
        <f t="shared" si="0"/>
        <v>7552</v>
      </c>
      <c r="G5" s="57">
        <f t="shared" ref="G5:G22" si="1">F5-F4</f>
        <v>-747</v>
      </c>
    </row>
    <row r="6" spans="1:7" x14ac:dyDescent="0.2">
      <c r="A6" s="40">
        <v>44221</v>
      </c>
      <c r="B6" s="30">
        <v>9725</v>
      </c>
      <c r="C6" s="44">
        <v>44221</v>
      </c>
      <c r="D6" s="30">
        <v>1030</v>
      </c>
      <c r="E6" s="44">
        <v>44221</v>
      </c>
      <c r="F6" s="39">
        <f t="shared" si="0"/>
        <v>10755</v>
      </c>
      <c r="G6" s="57">
        <f t="shared" si="1"/>
        <v>3203</v>
      </c>
    </row>
    <row r="7" spans="1:7" x14ac:dyDescent="0.2">
      <c r="A7" s="40">
        <v>44238</v>
      </c>
      <c r="B7" s="30">
        <v>8000</v>
      </c>
      <c r="C7" s="44">
        <v>44238</v>
      </c>
      <c r="D7" s="30">
        <v>3783</v>
      </c>
      <c r="E7" s="44">
        <v>44238</v>
      </c>
      <c r="F7" s="39">
        <f t="shared" si="0"/>
        <v>11783</v>
      </c>
      <c r="G7" s="57">
        <f t="shared" si="1"/>
        <v>1028</v>
      </c>
    </row>
    <row r="8" spans="1:7" x14ac:dyDescent="0.2">
      <c r="A8" s="40">
        <v>44240</v>
      </c>
      <c r="B8" s="30">
        <v>7000</v>
      </c>
      <c r="C8" s="44">
        <v>44240</v>
      </c>
      <c r="D8" s="30">
        <v>4941</v>
      </c>
      <c r="E8" s="44">
        <v>44240</v>
      </c>
      <c r="F8" s="39">
        <f t="shared" si="0"/>
        <v>11941</v>
      </c>
      <c r="G8" s="57">
        <f t="shared" si="1"/>
        <v>158</v>
      </c>
    </row>
    <row r="9" spans="1:7" x14ac:dyDescent="0.2">
      <c r="A9" s="40">
        <v>44253</v>
      </c>
      <c r="B9" s="30">
        <v>8660</v>
      </c>
      <c r="C9" s="44">
        <v>44253</v>
      </c>
      <c r="D9" s="30">
        <v>6653</v>
      </c>
      <c r="E9" s="44">
        <v>44253</v>
      </c>
      <c r="F9" s="39">
        <f t="shared" si="0"/>
        <v>15313</v>
      </c>
      <c r="G9" s="57">
        <f t="shared" si="1"/>
        <v>3372</v>
      </c>
    </row>
    <row r="10" spans="1:7" x14ac:dyDescent="0.2">
      <c r="A10" s="40">
        <v>44280</v>
      </c>
      <c r="B10" s="30">
        <v>9272</v>
      </c>
      <c r="C10" s="44">
        <v>44280</v>
      </c>
      <c r="D10" s="30">
        <v>9757</v>
      </c>
      <c r="E10" s="44">
        <v>44280</v>
      </c>
      <c r="F10" s="39">
        <f t="shared" si="0"/>
        <v>19029</v>
      </c>
      <c r="G10" s="57">
        <f t="shared" si="1"/>
        <v>3716</v>
      </c>
    </row>
    <row r="11" spans="1:7" x14ac:dyDescent="0.2">
      <c r="A11" s="40">
        <v>44311</v>
      </c>
      <c r="B11" s="30">
        <v>12000</v>
      </c>
      <c r="C11" s="44">
        <v>44311</v>
      </c>
      <c r="D11" s="30">
        <v>20050</v>
      </c>
      <c r="E11" s="44">
        <v>44311</v>
      </c>
      <c r="F11" s="39">
        <f t="shared" si="0"/>
        <v>32050</v>
      </c>
      <c r="G11" s="57">
        <f t="shared" si="1"/>
        <v>13021</v>
      </c>
    </row>
    <row r="12" spans="1:7" x14ac:dyDescent="0.2">
      <c r="A12" s="40">
        <v>44341</v>
      </c>
      <c r="B12" s="30">
        <v>9900</v>
      </c>
      <c r="C12" s="44">
        <v>44341</v>
      </c>
      <c r="D12" s="30">
        <v>22200</v>
      </c>
      <c r="E12" s="44">
        <v>44341</v>
      </c>
      <c r="F12" s="39">
        <f t="shared" si="0"/>
        <v>32100</v>
      </c>
      <c r="G12" s="57">
        <f t="shared" si="1"/>
        <v>50</v>
      </c>
    </row>
    <row r="13" spans="1:7" x14ac:dyDescent="0.2">
      <c r="A13" s="40">
        <v>44372</v>
      </c>
      <c r="B13" s="30">
        <v>7000</v>
      </c>
      <c r="C13" s="44">
        <v>44372</v>
      </c>
      <c r="D13" s="30">
        <v>24800</v>
      </c>
      <c r="E13" s="44">
        <v>44372</v>
      </c>
      <c r="F13" s="39">
        <f t="shared" si="0"/>
        <v>31800</v>
      </c>
      <c r="G13" s="57">
        <f t="shared" si="1"/>
        <v>-300</v>
      </c>
    </row>
    <row r="14" spans="1:7" x14ac:dyDescent="0.2">
      <c r="A14" s="40">
        <v>44402</v>
      </c>
      <c r="B14" s="30">
        <v>9000</v>
      </c>
      <c r="C14" s="44">
        <v>44402</v>
      </c>
      <c r="D14" s="30">
        <v>33500</v>
      </c>
      <c r="E14" s="44">
        <v>44402</v>
      </c>
      <c r="F14" s="39">
        <f t="shared" si="0"/>
        <v>42500</v>
      </c>
      <c r="G14" s="57">
        <f t="shared" si="1"/>
        <v>10700</v>
      </c>
    </row>
    <row r="15" spans="1:7" x14ac:dyDescent="0.2">
      <c r="A15" s="40">
        <v>44433</v>
      </c>
      <c r="B15" s="30">
        <v>7000</v>
      </c>
      <c r="C15" s="44">
        <v>44433</v>
      </c>
      <c r="D15" s="30">
        <v>33500</v>
      </c>
      <c r="E15" s="44">
        <v>44433</v>
      </c>
      <c r="F15" s="39">
        <f t="shared" si="0"/>
        <v>40500</v>
      </c>
      <c r="G15" s="57">
        <f t="shared" si="1"/>
        <v>-2000</v>
      </c>
    </row>
    <row r="16" spans="1:7" x14ac:dyDescent="0.2">
      <c r="A16" s="40">
        <v>44464</v>
      </c>
      <c r="B16" s="30">
        <v>7000</v>
      </c>
      <c r="C16" s="44">
        <v>44464</v>
      </c>
      <c r="D16" s="30">
        <v>30800</v>
      </c>
      <c r="E16" s="44">
        <v>44464</v>
      </c>
      <c r="F16" s="39">
        <f t="shared" si="0"/>
        <v>37800</v>
      </c>
      <c r="G16" s="57">
        <f t="shared" si="1"/>
        <v>-2700</v>
      </c>
    </row>
    <row r="17" spans="1:7" x14ac:dyDescent="0.2">
      <c r="A17" s="40">
        <v>44494</v>
      </c>
      <c r="B17" s="30">
        <v>1700</v>
      </c>
      <c r="C17" s="44">
        <v>44494</v>
      </c>
      <c r="D17" s="30">
        <v>34500</v>
      </c>
      <c r="E17" s="44">
        <v>44494</v>
      </c>
      <c r="F17" s="39">
        <f t="shared" si="0"/>
        <v>36200</v>
      </c>
      <c r="G17" s="57">
        <f t="shared" si="1"/>
        <v>-1600</v>
      </c>
    </row>
    <row r="18" spans="1:7" x14ac:dyDescent="0.2">
      <c r="A18" s="40">
        <v>44525</v>
      </c>
      <c r="B18" s="30">
        <v>3700</v>
      </c>
      <c r="C18" s="44">
        <v>44525</v>
      </c>
      <c r="D18" s="30">
        <v>37500</v>
      </c>
      <c r="E18" s="44">
        <v>44525</v>
      </c>
      <c r="F18" s="39">
        <f t="shared" si="0"/>
        <v>41200</v>
      </c>
      <c r="G18" s="57">
        <f t="shared" si="1"/>
        <v>5000</v>
      </c>
    </row>
    <row r="19" spans="1:7" x14ac:dyDescent="0.2">
      <c r="A19" s="40">
        <v>44555</v>
      </c>
      <c r="B19" s="30">
        <v>3600</v>
      </c>
      <c r="C19" s="44">
        <v>44555</v>
      </c>
      <c r="D19" s="30">
        <v>38000</v>
      </c>
      <c r="E19" s="44">
        <v>44555</v>
      </c>
      <c r="F19" s="39">
        <f t="shared" si="0"/>
        <v>41600</v>
      </c>
      <c r="G19" s="57">
        <f t="shared" si="1"/>
        <v>400</v>
      </c>
    </row>
    <row r="20" spans="1:7" x14ac:dyDescent="0.2">
      <c r="A20" s="40">
        <v>44586</v>
      </c>
      <c r="B20" s="30">
        <v>900</v>
      </c>
      <c r="C20" s="44">
        <v>44586</v>
      </c>
      <c r="D20" s="30">
        <v>32100</v>
      </c>
      <c r="E20" s="44">
        <v>44586</v>
      </c>
      <c r="F20" s="39">
        <f t="shared" si="0"/>
        <v>33000</v>
      </c>
      <c r="G20" s="57">
        <f t="shared" si="1"/>
        <v>-8600</v>
      </c>
    </row>
    <row r="21" spans="1:7" x14ac:dyDescent="0.2">
      <c r="A21" s="40">
        <v>44617</v>
      </c>
      <c r="B21" s="30">
        <v>3000</v>
      </c>
      <c r="C21" s="44">
        <v>44617</v>
      </c>
      <c r="D21" s="30">
        <v>26565</v>
      </c>
      <c r="E21" s="44">
        <v>44617</v>
      </c>
      <c r="F21" s="39">
        <f t="shared" si="0"/>
        <v>29565</v>
      </c>
      <c r="G21" s="57">
        <f t="shared" si="1"/>
        <v>-3435</v>
      </c>
    </row>
    <row r="22" spans="1:7" x14ac:dyDescent="0.2">
      <c r="A22" s="40">
        <v>44645</v>
      </c>
      <c r="B22" s="30">
        <v>27500</v>
      </c>
      <c r="C22" s="44">
        <v>44645</v>
      </c>
      <c r="D22" s="30">
        <v>907</v>
      </c>
      <c r="E22" s="44">
        <v>44645</v>
      </c>
      <c r="F22" s="39">
        <f t="shared" si="0"/>
        <v>28407</v>
      </c>
      <c r="G22" s="57">
        <f t="shared" si="1"/>
        <v>-1158</v>
      </c>
    </row>
    <row r="23" spans="1:7" x14ac:dyDescent="0.2">
      <c r="A23" s="40">
        <v>44676</v>
      </c>
      <c r="C23" s="44">
        <v>44676</v>
      </c>
      <c r="E23" s="44">
        <v>44676</v>
      </c>
    </row>
    <row r="24" spans="1:7" x14ac:dyDescent="0.2">
      <c r="A24" s="40">
        <v>44706</v>
      </c>
      <c r="C24" s="44">
        <v>44706</v>
      </c>
      <c r="E24" s="44">
        <v>44706</v>
      </c>
    </row>
    <row r="25" spans="1:7" x14ac:dyDescent="0.2">
      <c r="A25" s="40">
        <v>44737</v>
      </c>
      <c r="C25" s="44">
        <v>44737</v>
      </c>
      <c r="E25" s="44">
        <v>44737</v>
      </c>
    </row>
    <row r="26" spans="1:7" x14ac:dyDescent="0.2">
      <c r="A26" s="40">
        <v>44767</v>
      </c>
      <c r="C26" s="44">
        <v>44767</v>
      </c>
      <c r="E26" s="44">
        <v>44767</v>
      </c>
    </row>
    <row r="27" spans="1:7" x14ac:dyDescent="0.2">
      <c r="A27" s="40">
        <v>44798</v>
      </c>
      <c r="C27" s="44">
        <v>44798</v>
      </c>
      <c r="E27" s="44">
        <v>44798</v>
      </c>
    </row>
    <row r="28" spans="1:7" x14ac:dyDescent="0.2">
      <c r="A28" s="40">
        <v>44829</v>
      </c>
      <c r="C28" s="44">
        <v>44829</v>
      </c>
      <c r="E28" s="44">
        <v>44829</v>
      </c>
    </row>
    <row r="29" spans="1:7" x14ac:dyDescent="0.2">
      <c r="A29" s="40">
        <v>44859</v>
      </c>
      <c r="C29" s="44">
        <v>44859</v>
      </c>
      <c r="E29" s="44">
        <v>44859</v>
      </c>
    </row>
    <row r="30" spans="1:7" x14ac:dyDescent="0.2">
      <c r="A30" s="40">
        <v>44890</v>
      </c>
      <c r="C30" s="44">
        <v>44890</v>
      </c>
      <c r="E30" s="44">
        <v>44890</v>
      </c>
    </row>
    <row r="31" spans="1:7" x14ac:dyDescent="0.2">
      <c r="A31" s="40">
        <v>44920</v>
      </c>
      <c r="C31" s="44">
        <v>44920</v>
      </c>
      <c r="E31" s="44">
        <v>44920</v>
      </c>
    </row>
  </sheetData>
  <conditionalFormatting sqref="G1:G1048576">
    <cfRule type="cellIs" dxfId="1" priority="1" operator="lessThan">
      <formula>1</formula>
    </cfRule>
    <cfRule type="cellIs" dxfId="0" priority="2" operator="greaterThan">
      <formula>1</formula>
    </cfRule>
  </conditionalFormatting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1:AMJ43"/>
  <sheetViews>
    <sheetView zoomScale="89" zoomScaleNormal="89" workbookViewId="0">
      <selection activeCell="R38" sqref="R38"/>
    </sheetView>
  </sheetViews>
  <sheetFormatPr defaultRowHeight="14.25" x14ac:dyDescent="0.2"/>
  <cols>
    <col min="1" max="2" width="8.75" style="17" customWidth="1"/>
    <col min="3" max="3" width="8.75" style="56" customWidth="1"/>
    <col min="4" max="4" width="12" style="17" customWidth="1"/>
    <col min="5" max="11" width="8.75" style="17" customWidth="1"/>
    <col min="12" max="12" width="8.75" style="56" customWidth="1"/>
    <col min="13" max="13" width="12" style="17" customWidth="1"/>
    <col min="14" max="22" width="8.75" style="17" customWidth="1"/>
    <col min="23" max="23" width="12" style="39" customWidth="1"/>
    <col min="24" max="1024" width="8.75" style="17" customWidth="1"/>
  </cols>
  <sheetData>
    <row r="31" spans="2:23" x14ac:dyDescent="0.2">
      <c r="B31" s="17" t="s">
        <v>71</v>
      </c>
      <c r="C31" s="56">
        <v>44252</v>
      </c>
      <c r="D31" s="30">
        <v>17000</v>
      </c>
      <c r="K31" s="17" t="s">
        <v>71</v>
      </c>
      <c r="L31" s="56">
        <v>44252</v>
      </c>
      <c r="M31" s="30">
        <v>24000</v>
      </c>
      <c r="U31" s="17" t="s">
        <v>71</v>
      </c>
      <c r="V31" s="56">
        <v>44252</v>
      </c>
      <c r="W31" s="39">
        <v>40000</v>
      </c>
    </row>
    <row r="32" spans="2:23" x14ac:dyDescent="0.2">
      <c r="C32" s="56">
        <v>44280</v>
      </c>
      <c r="D32" s="30">
        <v>22000</v>
      </c>
      <c r="L32" s="56">
        <v>44280</v>
      </c>
      <c r="M32" s="30">
        <v>28000</v>
      </c>
      <c r="V32" s="56">
        <v>44280</v>
      </c>
      <c r="W32" s="39">
        <v>50000</v>
      </c>
    </row>
    <row r="33" spans="3:23" x14ac:dyDescent="0.2">
      <c r="C33" s="56">
        <v>44311</v>
      </c>
      <c r="D33" s="30">
        <v>20000</v>
      </c>
      <c r="L33" s="56">
        <v>44311</v>
      </c>
      <c r="M33" s="30">
        <v>46000</v>
      </c>
      <c r="V33" s="56">
        <v>44311</v>
      </c>
      <c r="W33" s="39">
        <v>66000</v>
      </c>
    </row>
    <row r="34" spans="3:23" x14ac:dyDescent="0.2">
      <c r="D34" s="30"/>
      <c r="M34" s="30"/>
    </row>
    <row r="35" spans="3:23" x14ac:dyDescent="0.2">
      <c r="D35" s="30"/>
      <c r="M35" s="30"/>
      <c r="V35" s="56"/>
    </row>
    <row r="36" spans="3:23" x14ac:dyDescent="0.2">
      <c r="D36" s="30"/>
      <c r="M36" s="30"/>
      <c r="V36" s="56"/>
    </row>
    <row r="37" spans="3:23" x14ac:dyDescent="0.2">
      <c r="D37" s="30"/>
      <c r="M37" s="30"/>
      <c r="V37" s="56"/>
    </row>
    <row r="38" spans="3:23" x14ac:dyDescent="0.2">
      <c r="D38" s="30"/>
      <c r="M38" s="30"/>
      <c r="V38" s="56"/>
    </row>
    <row r="39" spans="3:23" x14ac:dyDescent="0.2">
      <c r="D39" s="30"/>
      <c r="M39" s="30"/>
      <c r="V39" s="56"/>
    </row>
    <row r="40" spans="3:23" x14ac:dyDescent="0.2">
      <c r="D40" s="30"/>
      <c r="M40" s="30"/>
      <c r="V40" s="56"/>
    </row>
    <row r="41" spans="3:23" x14ac:dyDescent="0.2">
      <c r="D41" s="30"/>
      <c r="M41" s="30"/>
      <c r="V41" s="56"/>
    </row>
    <row r="42" spans="3:23" x14ac:dyDescent="0.2">
      <c r="D42" s="30"/>
      <c r="M42" s="30"/>
    </row>
    <row r="43" spans="3:23" x14ac:dyDescent="0.2">
      <c r="D43" s="30"/>
      <c r="M43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2164-ED0E-4A43-984E-305A4A649A49}">
  <dimension ref="A1:AMJ35"/>
  <sheetViews>
    <sheetView workbookViewId="0">
      <selection activeCell="C25" sqref="C25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9" width="12.125" style="17" bestFit="1" customWidth="1"/>
    <col min="10" max="10" width="13.125" style="17" customWidth="1"/>
    <col min="11" max="11" width="8.75" style="17" customWidth="1"/>
    <col min="12" max="12" width="4.75" style="17" bestFit="1" customWidth="1"/>
    <col min="13" max="13" width="8.75" style="17" customWidth="1"/>
    <col min="14" max="14" width="38.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v>21000</v>
      </c>
      <c r="C2" s="33" t="s">
        <v>24</v>
      </c>
      <c r="D2" s="32">
        <v>21000</v>
      </c>
      <c r="F2" s="18">
        <f>B2+D2</f>
        <v>42000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99</v>
      </c>
      <c r="C3" s="86" t="s">
        <v>89</v>
      </c>
      <c r="D3" s="71">
        <v>0</v>
      </c>
      <c r="F3" s="48">
        <f>(F2-'25e Mars 2022'!F2)/F2</f>
        <v>-2.8666666666666667E-2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729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444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1800</v>
      </c>
      <c r="C6" s="22" t="s">
        <v>11</v>
      </c>
      <c r="D6" s="16">
        <f>1048+524</f>
        <v>1572</v>
      </c>
      <c r="F6" s="18">
        <f>D20+B20</f>
        <v>38660</v>
      </c>
      <c r="H6" s="18">
        <f>F2-F6</f>
        <v>3340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630</v>
      </c>
      <c r="C7" s="22" t="s">
        <v>27</v>
      </c>
      <c r="D7" s="16">
        <v>7500</v>
      </c>
      <c r="F7" s="47">
        <f>(F6-'25e Mars 2022'!F6)/F6</f>
        <v>0.10393171236420072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358</v>
      </c>
      <c r="C8" s="22" t="s">
        <v>12</v>
      </c>
      <c r="D8" s="16">
        <v>0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429</v>
      </c>
      <c r="C9" s="22" t="s">
        <v>31</v>
      </c>
      <c r="D9" s="16">
        <v>300</v>
      </c>
      <c r="F9" s="84">
        <f>F6-(('25e Maj'!F6+'25e Juni'!F6+'25e Juli'!F6+'25e Augusti'!F6+'25e September'!F6+'25e Oktober'!F6)/6)</f>
        <v>3050.5</v>
      </c>
      <c r="H9" s="18">
        <f>H6/2</f>
        <v>1670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v>375</v>
      </c>
      <c r="C10" s="22" t="s">
        <v>10</v>
      </c>
      <c r="D10" s="16">
        <v>479</v>
      </c>
      <c r="M10" s="24"/>
      <c r="N10" s="24"/>
      <c r="O10" s="52"/>
      <c r="P10" s="52"/>
      <c r="Q10" s="53"/>
      <c r="R10" s="24"/>
    </row>
    <row r="11" spans="1:18" ht="15" x14ac:dyDescent="0.25">
      <c r="A11" s="95" t="s">
        <v>35</v>
      </c>
      <c r="B11" s="82">
        <v>2500</v>
      </c>
      <c r="C11" s="22" t="s">
        <v>3</v>
      </c>
      <c r="D11" s="16">
        <f>140+235</f>
        <v>375</v>
      </c>
      <c r="M11" s="24"/>
      <c r="N11" s="24"/>
      <c r="O11" s="52"/>
      <c r="P11" s="52"/>
      <c r="Q11" s="53"/>
      <c r="R11" s="24"/>
    </row>
    <row r="12" spans="1:18" ht="15" x14ac:dyDescent="0.25">
      <c r="A12" s="95" t="s">
        <v>2</v>
      </c>
      <c r="B12" s="82">
        <v>139</v>
      </c>
      <c r="C12" s="38" t="s">
        <v>64</v>
      </c>
      <c r="D12" s="16">
        <v>631</v>
      </c>
      <c r="M12" s="24"/>
      <c r="N12" s="24" t="s">
        <v>96</v>
      </c>
      <c r="O12" s="52">
        <v>54743</v>
      </c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94</v>
      </c>
      <c r="D13" s="16">
        <v>246</v>
      </c>
      <c r="M13" s="24"/>
      <c r="N13" s="24" t="s">
        <v>97</v>
      </c>
      <c r="O13" s="52">
        <v>46950</v>
      </c>
      <c r="P13" s="52"/>
      <c r="Q13" s="53"/>
      <c r="R13" s="24"/>
    </row>
    <row r="14" spans="1:18" x14ac:dyDescent="0.2">
      <c r="A14" s="21" t="s">
        <v>69</v>
      </c>
      <c r="B14" s="77">
        <f>17000</f>
        <v>17000</v>
      </c>
      <c r="C14" s="22" t="s">
        <v>43</v>
      </c>
      <c r="D14" s="16">
        <v>105</v>
      </c>
      <c r="M14" s="24"/>
      <c r="N14" s="24" t="s">
        <v>98</v>
      </c>
      <c r="O14" s="52">
        <v>49900</v>
      </c>
      <c r="P14" s="52"/>
      <c r="Q14" s="53"/>
      <c r="R14" s="24"/>
    </row>
    <row r="15" spans="1:18" x14ac:dyDescent="0.2">
      <c r="A15" s="21" t="s">
        <v>58</v>
      </c>
      <c r="B15" s="77">
        <v>179</v>
      </c>
      <c r="C15" s="22" t="s">
        <v>34</v>
      </c>
      <c r="D15" s="16">
        <v>0</v>
      </c>
      <c r="M15" s="24"/>
      <c r="N15" s="24" t="s">
        <v>100</v>
      </c>
      <c r="O15" s="52">
        <f>24050+16200+3750+730</f>
        <v>44730</v>
      </c>
      <c r="P15" s="52"/>
      <c r="Q15" s="53"/>
      <c r="R15" s="24"/>
    </row>
    <row r="16" spans="1:18" ht="15" x14ac:dyDescent="0.25">
      <c r="A16" s="21" t="s">
        <v>7</v>
      </c>
      <c r="B16" s="77">
        <v>65</v>
      </c>
      <c r="C16" s="19" t="s">
        <v>78</v>
      </c>
      <c r="D16" s="16">
        <v>0</v>
      </c>
      <c r="L16" s="18"/>
      <c r="M16" s="24"/>
      <c r="N16" s="24" t="s">
        <v>99</v>
      </c>
      <c r="O16" s="52">
        <f>27000+16200+3750+730</f>
        <v>47680</v>
      </c>
      <c r="P16" s="24"/>
      <c r="Q16" s="24"/>
      <c r="R16" s="24"/>
    </row>
    <row r="17" spans="1:18" x14ac:dyDescent="0.2">
      <c r="A17" s="17" t="s">
        <v>95</v>
      </c>
      <c r="B17" s="77">
        <v>2300</v>
      </c>
      <c r="M17" s="24"/>
      <c r="Q17" s="24"/>
      <c r="R17" s="24"/>
    </row>
    <row r="18" spans="1:18" s="17" customFormat="1" x14ac:dyDescent="0.2">
      <c r="A18" s="21" t="s">
        <v>12</v>
      </c>
      <c r="B18" s="77">
        <v>0</v>
      </c>
      <c r="C18" s="19"/>
      <c r="D18" s="16"/>
      <c r="F18"/>
      <c r="H18"/>
      <c r="M18" s="24"/>
      <c r="N18" s="24"/>
      <c r="O18" s="24"/>
      <c r="P18" s="24"/>
      <c r="Q18" s="24"/>
      <c r="R18" s="24"/>
    </row>
    <row r="19" spans="1:18" s="17" customFormat="1" x14ac:dyDescent="0.2">
      <c r="A19" s="21" t="s">
        <v>36</v>
      </c>
      <c r="B19" s="77">
        <v>0</v>
      </c>
      <c r="C19" s="19"/>
      <c r="D19" s="16"/>
      <c r="J19" s="92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SUM(B3:B19)</f>
        <v>26739</v>
      </c>
      <c r="C20" s="15" t="s">
        <v>39</v>
      </c>
      <c r="D20" s="14">
        <f>SUM(D3:D16)</f>
        <v>11921</v>
      </c>
      <c r="I20" s="39">
        <f>F2/2</f>
        <v>21000</v>
      </c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H21" s="17" t="s">
        <v>90</v>
      </c>
      <c r="I21" s="39">
        <f>B2-B20</f>
        <v>-5739</v>
      </c>
      <c r="J21" s="39">
        <f>I24-I21</f>
        <v>7409</v>
      </c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0</v>
      </c>
      <c r="C22" s="19" t="s">
        <v>12</v>
      </c>
      <c r="D22" s="16">
        <v>0</v>
      </c>
      <c r="H22" s="17" t="s">
        <v>91</v>
      </c>
      <c r="I22" s="39">
        <f>D2-D20</f>
        <v>9079</v>
      </c>
      <c r="J22" s="39">
        <f>I24-I22</f>
        <v>-7409</v>
      </c>
      <c r="N22" s="24"/>
      <c r="O22" s="24"/>
      <c r="P22" s="24"/>
      <c r="Q22" s="24"/>
      <c r="R22" s="24"/>
    </row>
    <row r="23" spans="1:18" s="17" customFormat="1" x14ac:dyDescent="0.2">
      <c r="A23" s="21" t="s">
        <v>87</v>
      </c>
      <c r="B23" s="77">
        <v>0</v>
      </c>
      <c r="C23" s="19"/>
      <c r="D23" s="16"/>
      <c r="H23" s="17" t="s">
        <v>92</v>
      </c>
      <c r="I23" s="39">
        <f>I21+I22</f>
        <v>3340</v>
      </c>
      <c r="N23" s="24"/>
      <c r="O23" s="24"/>
      <c r="P23" s="24"/>
      <c r="Q23" s="24"/>
      <c r="R23" s="24"/>
    </row>
    <row r="24" spans="1:18" s="17" customFormat="1" x14ac:dyDescent="0.2">
      <c r="A24" s="21" t="s">
        <v>45</v>
      </c>
      <c r="B24" s="77">
        <v>800</v>
      </c>
      <c r="C24" s="19"/>
      <c r="D24" s="16"/>
      <c r="H24" s="17" t="s">
        <v>93</v>
      </c>
      <c r="I24" s="39">
        <f>I23/2</f>
        <v>1670</v>
      </c>
      <c r="J24" s="24"/>
    </row>
    <row r="25" spans="1:18" s="17" customFormat="1" ht="15" x14ac:dyDescent="0.25">
      <c r="A25" s="78" t="s">
        <v>83</v>
      </c>
      <c r="B25" s="83">
        <v>0</v>
      </c>
      <c r="C25" s="50"/>
      <c r="I25" s="75"/>
      <c r="J25" s="76"/>
    </row>
    <row r="26" spans="1:18" s="17" customFormat="1" ht="15" x14ac:dyDescent="0.25">
      <c r="A26" s="78" t="s">
        <v>84</v>
      </c>
      <c r="B26" s="83">
        <v>0</v>
      </c>
      <c r="C26" s="38"/>
      <c r="D26" s="16"/>
      <c r="H26" s="74"/>
      <c r="I26" s="76"/>
    </row>
    <row r="27" spans="1:18" s="17" customFormat="1" x14ac:dyDescent="0.2">
      <c r="A27"/>
      <c r="B27" s="46"/>
      <c r="C27" s="19"/>
      <c r="D27" s="16"/>
      <c r="H27" s="24"/>
      <c r="I27" s="24"/>
    </row>
    <row r="28" spans="1:18" s="17" customFormat="1" x14ac:dyDescent="0.2">
      <c r="A28"/>
      <c r="B28" s="46"/>
      <c r="C28" s="19"/>
      <c r="D28" s="16"/>
    </row>
    <row r="29" spans="1:18" s="17" customFormat="1" x14ac:dyDescent="0.2">
      <c r="A29"/>
      <c r="B29" s="46"/>
      <c r="C29" s="19"/>
      <c r="D29" s="16"/>
    </row>
    <row r="30" spans="1:18" s="17" customFormat="1" ht="15" x14ac:dyDescent="0.25">
      <c r="A30" s="13" t="s">
        <v>49</v>
      </c>
      <c r="B30" s="82">
        <f>SUM(B21:B27)</f>
        <v>899</v>
      </c>
      <c r="C30" s="15" t="s">
        <v>49</v>
      </c>
      <c r="D30" s="14">
        <f>SUM(D21:D27)</f>
        <v>570</v>
      </c>
      <c r="H30" s="20"/>
      <c r="I30" s="39"/>
      <c r="O30" s="30"/>
    </row>
    <row r="31" spans="1:18" s="17" customFormat="1" x14ac:dyDescent="0.2">
      <c r="A31" s="17" t="s">
        <v>50</v>
      </c>
      <c r="B31" s="77">
        <f>H9-B30</f>
        <v>771</v>
      </c>
      <c r="C31" s="19" t="s">
        <v>50</v>
      </c>
      <c r="D31" s="16">
        <f>H9-D30</f>
        <v>1100</v>
      </c>
      <c r="I31"/>
      <c r="O31" s="30"/>
    </row>
    <row r="32" spans="1:18" s="17" customFormat="1" ht="15" x14ac:dyDescent="0.25">
      <c r="A32" s="13" t="s">
        <v>51</v>
      </c>
      <c r="B32" s="82">
        <f>(B2-B20)-B30</f>
        <v>-6638</v>
      </c>
      <c r="C32" s="15" t="s">
        <v>51</v>
      </c>
      <c r="D32" s="14">
        <f>(D2-D20)-D30</f>
        <v>8509</v>
      </c>
      <c r="F32" s="20"/>
      <c r="O32" s="30"/>
    </row>
    <row r="33" spans="1:15" s="17" customFormat="1" x14ac:dyDescent="0.2">
      <c r="A33" s="17" t="s">
        <v>52</v>
      </c>
      <c r="B33" s="77">
        <f>B31-B32</f>
        <v>7409</v>
      </c>
      <c r="C33" s="19" t="s">
        <v>52</v>
      </c>
      <c r="D33" s="16">
        <f>D31-D32</f>
        <v>-7409</v>
      </c>
      <c r="O33" s="30"/>
    </row>
    <row r="35" spans="1:15" s="17" customFormat="1" ht="15" x14ac:dyDescent="0.25">
      <c r="A35" s="17" t="s">
        <v>53</v>
      </c>
      <c r="B35" s="82">
        <f>(B32-B33)+B30</f>
        <v>-13148</v>
      </c>
      <c r="C35" s="19" t="s">
        <v>53</v>
      </c>
      <c r="D35" s="14">
        <f>(D32-D33)+D30</f>
        <v>16488</v>
      </c>
      <c r="O35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4"/>
  <sheetViews>
    <sheetView workbookViewId="0">
      <selection activeCell="A19" sqref="A19:XFD19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024" width="8.75" style="17" customWidth="1"/>
  </cols>
  <sheetData>
    <row r="1" spans="1:8" ht="21.6" customHeight="1" x14ac:dyDescent="0.2">
      <c r="A1" s="25" t="s">
        <v>13</v>
      </c>
      <c r="B1" s="25"/>
      <c r="C1" s="26" t="s">
        <v>14</v>
      </c>
      <c r="D1" s="27"/>
      <c r="F1" s="17" t="s">
        <v>23</v>
      </c>
    </row>
    <row r="2" spans="1:8" ht="15" x14ac:dyDescent="0.25">
      <c r="A2" s="31" t="s">
        <v>24</v>
      </c>
      <c r="B2" s="32">
        <v>21890</v>
      </c>
      <c r="C2" s="33" t="s">
        <v>24</v>
      </c>
      <c r="D2" s="32">
        <f>2650+10000</f>
        <v>12650</v>
      </c>
      <c r="F2" s="18">
        <f>B2+D2</f>
        <v>34540</v>
      </c>
    </row>
    <row r="3" spans="1:8" ht="15" x14ac:dyDescent="0.25">
      <c r="A3" s="21" t="s">
        <v>25</v>
      </c>
      <c r="B3" s="16">
        <v>349</v>
      </c>
      <c r="C3" s="22" t="s">
        <v>25</v>
      </c>
      <c r="D3" s="16">
        <v>299</v>
      </c>
      <c r="F3" s="47">
        <f>(F2-'25e November'!F2)/'25e December'!F2</f>
        <v>-0.26152287203242619</v>
      </c>
    </row>
    <row r="4" spans="1:8" x14ac:dyDescent="0.2">
      <c r="A4" s="21" t="s">
        <v>1</v>
      </c>
      <c r="B4" s="16">
        <v>638</v>
      </c>
      <c r="C4" s="22" t="s">
        <v>1</v>
      </c>
      <c r="D4" s="16">
        <v>349</v>
      </c>
    </row>
    <row r="5" spans="1:8" x14ac:dyDescent="0.2">
      <c r="A5" s="21" t="s">
        <v>54</v>
      </c>
      <c r="B5" s="16">
        <v>65</v>
      </c>
      <c r="C5" s="22" t="s">
        <v>9</v>
      </c>
      <c r="D5" s="16">
        <v>464</v>
      </c>
      <c r="F5" s="17" t="s">
        <v>37</v>
      </c>
      <c r="H5" s="17" t="s">
        <v>38</v>
      </c>
    </row>
    <row r="6" spans="1:8" ht="15" x14ac:dyDescent="0.25">
      <c r="A6" s="21" t="s">
        <v>55</v>
      </c>
      <c r="B6" s="16">
        <v>69</v>
      </c>
      <c r="C6" s="22" t="s">
        <v>11</v>
      </c>
      <c r="D6" s="16">
        <v>1325</v>
      </c>
      <c r="F6" s="18">
        <f>D20+B20</f>
        <v>31134</v>
      </c>
      <c r="H6" s="18">
        <f>F2-F6</f>
        <v>3406</v>
      </c>
    </row>
    <row r="7" spans="1:8" ht="15" x14ac:dyDescent="0.25">
      <c r="A7" s="21" t="s">
        <v>0</v>
      </c>
      <c r="B7" s="16">
        <v>1220</v>
      </c>
      <c r="C7" s="22" t="s">
        <v>27</v>
      </c>
      <c r="D7" s="16">
        <v>7000</v>
      </c>
      <c r="F7" s="48">
        <f>(F6-'25e November'!F6)/F6</f>
        <v>-6.5137791481981108E-2</v>
      </c>
    </row>
    <row r="8" spans="1:8" x14ac:dyDescent="0.2">
      <c r="A8" s="21" t="s">
        <v>28</v>
      </c>
      <c r="B8" s="16">
        <v>574</v>
      </c>
      <c r="C8" s="22" t="s">
        <v>12</v>
      </c>
      <c r="D8" s="16">
        <f>1200+280+170+250+250</f>
        <v>2150</v>
      </c>
      <c r="H8" s="17" t="s">
        <v>42</v>
      </c>
    </row>
    <row r="9" spans="1:8" ht="15" x14ac:dyDescent="0.25">
      <c r="A9" s="21" t="s">
        <v>30</v>
      </c>
      <c r="B9" s="16">
        <v>221</v>
      </c>
      <c r="C9" s="22" t="s">
        <v>31</v>
      </c>
      <c r="D9" s="16">
        <v>0</v>
      </c>
      <c r="H9" s="18">
        <f>H6/2</f>
        <v>1703</v>
      </c>
    </row>
    <row r="10" spans="1:8" x14ac:dyDescent="0.2">
      <c r="A10" s="21" t="s">
        <v>56</v>
      </c>
      <c r="B10" s="16">
        <v>343</v>
      </c>
      <c r="C10" s="22" t="s">
        <v>10</v>
      </c>
      <c r="D10" s="16">
        <v>768</v>
      </c>
    </row>
    <row r="11" spans="1:8" x14ac:dyDescent="0.2">
      <c r="A11" s="21" t="s">
        <v>57</v>
      </c>
      <c r="B11" s="16">
        <v>385</v>
      </c>
      <c r="C11" s="22" t="s">
        <v>8</v>
      </c>
      <c r="D11" s="16">
        <v>232</v>
      </c>
    </row>
    <row r="12" spans="1:8" x14ac:dyDescent="0.2">
      <c r="A12" s="21" t="s">
        <v>3</v>
      </c>
      <c r="B12" s="16">
        <f>235+170</f>
        <v>405</v>
      </c>
      <c r="C12" s="22" t="s">
        <v>34</v>
      </c>
    </row>
    <row r="13" spans="1:8" x14ac:dyDescent="0.2">
      <c r="A13" s="21" t="s">
        <v>35</v>
      </c>
      <c r="B13" s="16">
        <v>0</v>
      </c>
      <c r="C13" s="22"/>
    </row>
    <row r="14" spans="1:8" x14ac:dyDescent="0.2">
      <c r="A14" s="21" t="s">
        <v>2</v>
      </c>
      <c r="B14" s="16">
        <v>249</v>
      </c>
      <c r="C14" s="22"/>
    </row>
    <row r="15" spans="1:8" x14ac:dyDescent="0.2">
      <c r="A15" s="21" t="s">
        <v>4</v>
      </c>
      <c r="B15" s="16">
        <v>13444</v>
      </c>
      <c r="C15" s="22"/>
    </row>
    <row r="16" spans="1:8" x14ac:dyDescent="0.2">
      <c r="A16" s="21" t="s">
        <v>58</v>
      </c>
      <c r="B16" s="16">
        <v>159</v>
      </c>
      <c r="C16" s="22"/>
    </row>
    <row r="17" spans="1:9" x14ac:dyDescent="0.2">
      <c r="A17" s="21" t="s">
        <v>59</v>
      </c>
      <c r="B17" s="16">
        <v>426</v>
      </c>
      <c r="C17" s="22"/>
    </row>
    <row r="18" spans="1:9" x14ac:dyDescent="0.2">
      <c r="A18" s="21" t="s">
        <v>36</v>
      </c>
      <c r="C18" s="22"/>
    </row>
    <row r="19" spans="1:9" x14ac:dyDescent="0.2">
      <c r="A19" s="21"/>
      <c r="C19" s="22"/>
    </row>
    <row r="20" spans="1:9" ht="15" x14ac:dyDescent="0.25">
      <c r="A20" s="23" t="s">
        <v>39</v>
      </c>
      <c r="B20" s="14">
        <f>SUM(B3:B18)</f>
        <v>18547</v>
      </c>
      <c r="C20" s="15" t="s">
        <v>39</v>
      </c>
      <c r="D20" s="14">
        <f>SUM(D3:D12)</f>
        <v>12587</v>
      </c>
    </row>
    <row r="21" spans="1:9" x14ac:dyDescent="0.2">
      <c r="A21" s="21" t="s">
        <v>60</v>
      </c>
      <c r="B21" s="16">
        <v>99</v>
      </c>
      <c r="C21" s="19" t="s">
        <v>41</v>
      </c>
      <c r="D21" s="16">
        <v>570</v>
      </c>
    </row>
    <row r="22" spans="1:9" x14ac:dyDescent="0.2">
      <c r="A22" s="21" t="s">
        <v>43</v>
      </c>
      <c r="B22" s="16">
        <v>67</v>
      </c>
    </row>
    <row r="23" spans="1:9" x14ac:dyDescent="0.2">
      <c r="A23" s="21" t="s">
        <v>45</v>
      </c>
      <c r="B23" s="16">
        <v>885</v>
      </c>
      <c r="C23" s="51"/>
    </row>
    <row r="24" spans="1:9" x14ac:dyDescent="0.2">
      <c r="A24" s="21" t="s">
        <v>61</v>
      </c>
      <c r="B24" s="16">
        <v>195</v>
      </c>
    </row>
    <row r="25" spans="1:9" x14ac:dyDescent="0.2">
      <c r="A25" s="21" t="s">
        <v>62</v>
      </c>
      <c r="B25" s="16">
        <v>134</v>
      </c>
    </row>
    <row r="26" spans="1:9" x14ac:dyDescent="0.2">
      <c r="A26" s="21" t="s">
        <v>63</v>
      </c>
      <c r="B26" s="16">
        <v>79</v>
      </c>
    </row>
    <row r="27" spans="1:9" x14ac:dyDescent="0.2">
      <c r="A27" s="21"/>
    </row>
    <row r="29" spans="1:9" ht="15" x14ac:dyDescent="0.25">
      <c r="A29" s="13" t="s">
        <v>49</v>
      </c>
      <c r="B29" s="14">
        <f>SUM(B21:B28)</f>
        <v>1459</v>
      </c>
      <c r="C29" s="15" t="s">
        <v>49</v>
      </c>
      <c r="D29" s="14">
        <f>SUM(D21:D28)</f>
        <v>570</v>
      </c>
      <c r="H29" s="20"/>
    </row>
    <row r="30" spans="1:9" x14ac:dyDescent="0.2">
      <c r="A30" s="17" t="s">
        <v>50</v>
      </c>
      <c r="B30" s="16">
        <f>H9-B29</f>
        <v>244</v>
      </c>
      <c r="C30" s="19" t="s">
        <v>50</v>
      </c>
      <c r="D30" s="16">
        <f>H9-D29</f>
        <v>1133</v>
      </c>
      <c r="I30"/>
    </row>
    <row r="31" spans="1:9" ht="15" x14ac:dyDescent="0.25">
      <c r="A31" s="13" t="s">
        <v>51</v>
      </c>
      <c r="B31" s="14">
        <f>B2-B20-B29</f>
        <v>1884</v>
      </c>
      <c r="C31" s="15" t="s">
        <v>51</v>
      </c>
      <c r="D31" s="14">
        <f>D2-D20-D29</f>
        <v>-507</v>
      </c>
      <c r="F31" s="20"/>
    </row>
    <row r="32" spans="1:9" x14ac:dyDescent="0.2">
      <c r="A32" s="17" t="s">
        <v>52</v>
      </c>
      <c r="B32" s="16">
        <f>B31-B30</f>
        <v>1640</v>
      </c>
      <c r="C32" s="19" t="s">
        <v>52</v>
      </c>
      <c r="D32" s="16">
        <f>D31-D30</f>
        <v>-1640</v>
      </c>
    </row>
    <row r="33" spans="1:11" x14ac:dyDescent="0.2">
      <c r="K33" s="17">
        <f>14631-16249</f>
        <v>-1618</v>
      </c>
    </row>
    <row r="34" spans="1:11" ht="15" x14ac:dyDescent="0.25">
      <c r="A34" s="17" t="s">
        <v>53</v>
      </c>
      <c r="B34" s="14">
        <f>(B31-B32)+B29</f>
        <v>1703</v>
      </c>
      <c r="C34" s="19" t="s">
        <v>53</v>
      </c>
      <c r="D34" s="14">
        <f>(D31-D32)+D29</f>
        <v>1703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4"/>
  <sheetViews>
    <sheetView workbookViewId="0">
      <selection activeCell="A19" sqref="A19:XFD19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024" width="8.75" style="17" customWidth="1"/>
  </cols>
  <sheetData>
    <row r="1" spans="1:8" ht="21.6" customHeight="1" x14ac:dyDescent="0.2">
      <c r="A1" s="25" t="s">
        <v>13</v>
      </c>
      <c r="B1" s="25"/>
      <c r="C1" s="26" t="s">
        <v>14</v>
      </c>
      <c r="D1" s="27"/>
      <c r="F1" s="17" t="s">
        <v>23</v>
      </c>
    </row>
    <row r="2" spans="1:8" ht="15" x14ac:dyDescent="0.25">
      <c r="A2" s="31" t="s">
        <v>24</v>
      </c>
      <c r="B2" s="32">
        <v>23527</v>
      </c>
      <c r="C2" s="33" t="s">
        <v>24</v>
      </c>
      <c r="D2" s="32">
        <v>21750</v>
      </c>
      <c r="F2" s="18">
        <f>B2+D2</f>
        <v>45277</v>
      </c>
    </row>
    <row r="3" spans="1:8" ht="15" x14ac:dyDescent="0.25">
      <c r="A3" s="21" t="s">
        <v>25</v>
      </c>
      <c r="B3" s="16">
        <v>349</v>
      </c>
      <c r="C3" s="22" t="s">
        <v>25</v>
      </c>
      <c r="D3" s="16">
        <v>299</v>
      </c>
      <c r="F3" s="48">
        <f>(F2-'25e December'!F2)/F2</f>
        <v>0.23714026989420678</v>
      </c>
    </row>
    <row r="4" spans="1:8" x14ac:dyDescent="0.2">
      <c r="A4" s="21" t="s">
        <v>1</v>
      </c>
      <c r="B4" s="16">
        <v>638</v>
      </c>
      <c r="C4" s="22" t="s">
        <v>1</v>
      </c>
      <c r="D4" s="16">
        <v>349</v>
      </c>
    </row>
    <row r="5" spans="1:8" x14ac:dyDescent="0.2">
      <c r="A5" s="21" t="s">
        <v>54</v>
      </c>
      <c r="B5" s="16">
        <v>65</v>
      </c>
      <c r="C5" s="22" t="s">
        <v>9</v>
      </c>
      <c r="D5" s="16">
        <v>480</v>
      </c>
      <c r="F5" s="17" t="s">
        <v>37</v>
      </c>
      <c r="H5" s="17" t="s">
        <v>38</v>
      </c>
    </row>
    <row r="6" spans="1:8" ht="15" x14ac:dyDescent="0.25">
      <c r="A6" s="21" t="s">
        <v>55</v>
      </c>
      <c r="B6" s="16">
        <v>69</v>
      </c>
      <c r="C6" s="22" t="s">
        <v>11</v>
      </c>
      <c r="D6" s="16">
        <v>1250</v>
      </c>
      <c r="F6" s="18">
        <f>D20+B20</f>
        <v>32877</v>
      </c>
      <c r="H6" s="18">
        <f>F2-F6</f>
        <v>12400</v>
      </c>
    </row>
    <row r="7" spans="1:8" ht="15" x14ac:dyDescent="0.25">
      <c r="A7" s="21" t="s">
        <v>0</v>
      </c>
      <c r="B7" s="16">
        <v>1190</v>
      </c>
      <c r="C7" s="22" t="s">
        <v>27</v>
      </c>
      <c r="D7" s="16">
        <v>7000</v>
      </c>
      <c r="F7" s="47">
        <f>(F6-'25e December'!F6)/F6</f>
        <v>5.3015786111871521E-2</v>
      </c>
    </row>
    <row r="8" spans="1:8" x14ac:dyDescent="0.2">
      <c r="A8" s="21" t="s">
        <v>28</v>
      </c>
      <c r="B8" s="16">
        <v>580</v>
      </c>
      <c r="C8" s="22" t="s">
        <v>12</v>
      </c>
      <c r="D8" s="16">
        <v>200</v>
      </c>
      <c r="H8" s="17" t="s">
        <v>42</v>
      </c>
    </row>
    <row r="9" spans="1:8" ht="15" x14ac:dyDescent="0.25">
      <c r="A9" s="21" t="s">
        <v>56</v>
      </c>
      <c r="B9" s="16">
        <v>343</v>
      </c>
      <c r="C9" s="22" t="s">
        <v>31</v>
      </c>
      <c r="D9" s="16">
        <v>0</v>
      </c>
      <c r="H9" s="18">
        <f>H6/2</f>
        <v>6200</v>
      </c>
    </row>
    <row r="10" spans="1:8" x14ac:dyDescent="0.2">
      <c r="A10" s="21" t="s">
        <v>57</v>
      </c>
      <c r="B10" s="16">
        <v>385</v>
      </c>
      <c r="C10" s="22" t="s">
        <v>10</v>
      </c>
      <c r="D10" s="16">
        <v>770</v>
      </c>
    </row>
    <row r="11" spans="1:8" x14ac:dyDescent="0.2">
      <c r="A11" s="21" t="s">
        <v>3</v>
      </c>
      <c r="B11" s="16">
        <f>235+170</f>
        <v>405</v>
      </c>
      <c r="C11" s="22" t="s">
        <v>8</v>
      </c>
      <c r="D11" s="16">
        <v>145</v>
      </c>
    </row>
    <row r="12" spans="1:8" x14ac:dyDescent="0.2">
      <c r="A12" s="21" t="s">
        <v>35</v>
      </c>
      <c r="B12" s="16">
        <v>1276</v>
      </c>
      <c r="C12" s="51" t="s">
        <v>64</v>
      </c>
      <c r="D12" s="16">
        <v>630</v>
      </c>
    </row>
    <row r="13" spans="1:8" x14ac:dyDescent="0.2">
      <c r="A13" s="21" t="s">
        <v>2</v>
      </c>
      <c r="B13" s="16">
        <v>79</v>
      </c>
      <c r="C13" s="51" t="s">
        <v>65</v>
      </c>
      <c r="D13" s="16">
        <v>600</v>
      </c>
    </row>
    <row r="14" spans="1:8" x14ac:dyDescent="0.2">
      <c r="A14" s="21" t="s">
        <v>43</v>
      </c>
      <c r="B14" s="16">
        <v>67</v>
      </c>
      <c r="C14" s="22" t="s">
        <v>43</v>
      </c>
      <c r="D14" s="16">
        <v>105</v>
      </c>
    </row>
    <row r="15" spans="1:8" x14ac:dyDescent="0.2">
      <c r="A15" s="21" t="s">
        <v>4</v>
      </c>
      <c r="B15" s="16">
        <v>13444</v>
      </c>
      <c r="C15" s="22" t="s">
        <v>34</v>
      </c>
      <c r="D15" s="46">
        <v>1000</v>
      </c>
    </row>
    <row r="16" spans="1:8" x14ac:dyDescent="0.2">
      <c r="A16" s="21" t="s">
        <v>58</v>
      </c>
      <c r="B16" s="16">
        <v>159</v>
      </c>
    </row>
    <row r="17" spans="1:9" x14ac:dyDescent="0.2">
      <c r="A17" s="21" t="s">
        <v>36</v>
      </c>
      <c r="B17" s="16">
        <v>1000</v>
      </c>
      <c r="C17" s="51"/>
    </row>
    <row r="18" spans="1:9" x14ac:dyDescent="0.2">
      <c r="A18"/>
      <c r="B18"/>
    </row>
    <row r="19" spans="1:9" x14ac:dyDescent="0.2">
      <c r="A19"/>
      <c r="B19"/>
    </row>
    <row r="20" spans="1:9" ht="15" x14ac:dyDescent="0.25">
      <c r="A20" s="23" t="s">
        <v>39</v>
      </c>
      <c r="B20" s="14">
        <f>SUM(B3:B18)</f>
        <v>20049</v>
      </c>
      <c r="C20" s="15" t="s">
        <v>39</v>
      </c>
      <c r="D20" s="14">
        <f>SUM(D3:D15)</f>
        <v>12828</v>
      </c>
    </row>
    <row r="21" spans="1:9" x14ac:dyDescent="0.2">
      <c r="A21" s="21" t="s">
        <v>60</v>
      </c>
      <c r="B21" s="16">
        <v>99</v>
      </c>
      <c r="C21" s="19" t="s">
        <v>41</v>
      </c>
      <c r="D21" s="16">
        <v>570</v>
      </c>
    </row>
    <row r="22" spans="1:9" x14ac:dyDescent="0.2">
      <c r="A22" s="21" t="s">
        <v>45</v>
      </c>
      <c r="B22" s="16">
        <v>885</v>
      </c>
    </row>
    <row r="23" spans="1:9" x14ac:dyDescent="0.2">
      <c r="A23" s="21" t="s">
        <v>62</v>
      </c>
      <c r="B23" s="16">
        <v>134</v>
      </c>
    </row>
    <row r="24" spans="1:9" x14ac:dyDescent="0.2">
      <c r="A24" s="21" t="s">
        <v>63</v>
      </c>
      <c r="B24" s="16">
        <v>79</v>
      </c>
      <c r="C24" s="51"/>
    </row>
    <row r="25" spans="1:9" x14ac:dyDescent="0.2">
      <c r="A25" t="s">
        <v>66</v>
      </c>
      <c r="B25" s="16">
        <v>139</v>
      </c>
    </row>
    <row r="26" spans="1:9" x14ac:dyDescent="0.2">
      <c r="B26"/>
    </row>
    <row r="29" spans="1:9" ht="15" x14ac:dyDescent="0.25">
      <c r="A29" s="13" t="s">
        <v>49</v>
      </c>
      <c r="B29" s="14">
        <f>SUM(B21:B28)</f>
        <v>1336</v>
      </c>
      <c r="C29" s="15" t="s">
        <v>49</v>
      </c>
      <c r="D29" s="14">
        <f>SUM(D21:D28)</f>
        <v>570</v>
      </c>
      <c r="H29" s="20"/>
    </row>
    <row r="30" spans="1:9" x14ac:dyDescent="0.2">
      <c r="A30" s="17" t="s">
        <v>50</v>
      </c>
      <c r="B30" s="16">
        <f>H9-B29</f>
        <v>4864</v>
      </c>
      <c r="C30" s="19" t="s">
        <v>50</v>
      </c>
      <c r="D30" s="16">
        <f>H9-D29</f>
        <v>5630</v>
      </c>
      <c r="I30"/>
    </row>
    <row r="31" spans="1:9" ht="15" x14ac:dyDescent="0.25">
      <c r="A31" s="13" t="s">
        <v>51</v>
      </c>
      <c r="B31" s="14">
        <f>(B2-B20)-B29</f>
        <v>2142</v>
      </c>
      <c r="C31" s="15" t="s">
        <v>51</v>
      </c>
      <c r="D31" s="14">
        <f>(D2-D20)-D29</f>
        <v>8352</v>
      </c>
      <c r="F31" s="20"/>
    </row>
    <row r="32" spans="1:9" x14ac:dyDescent="0.2">
      <c r="A32" s="17" t="s">
        <v>52</v>
      </c>
      <c r="B32" s="16">
        <f>B31-B30</f>
        <v>-2722</v>
      </c>
      <c r="C32" s="19" t="s">
        <v>52</v>
      </c>
      <c r="D32" s="16">
        <f>D31-D30</f>
        <v>2722</v>
      </c>
    </row>
    <row r="34" spans="1:4" ht="15" x14ac:dyDescent="0.25">
      <c r="A34" s="17" t="s">
        <v>53</v>
      </c>
      <c r="B34" s="14">
        <f>(B31-B32)+B29</f>
        <v>6200</v>
      </c>
      <c r="C34" s="19" t="s">
        <v>53</v>
      </c>
      <c r="D34" s="14">
        <f>(D31-D32)+D29</f>
        <v>6200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4"/>
  <sheetViews>
    <sheetView workbookViewId="0">
      <selection activeCell="A19" sqref="A19:XFD19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7" ht="21.6" customHeight="1" x14ac:dyDescent="0.25">
      <c r="A1" s="25" t="s">
        <v>13</v>
      </c>
      <c r="B1" s="28"/>
      <c r="C1" s="26" t="s">
        <v>14</v>
      </c>
      <c r="D1" s="29"/>
      <c r="F1" s="17" t="s">
        <v>23</v>
      </c>
    </row>
    <row r="2" spans="1:17" ht="15" x14ac:dyDescent="0.25">
      <c r="A2" s="31" t="s">
        <v>24</v>
      </c>
      <c r="B2" s="32">
        <v>23527</v>
      </c>
      <c r="C2" s="33" t="s">
        <v>24</v>
      </c>
      <c r="D2" s="32">
        <f>19000+1050+560+2650</f>
        <v>23260</v>
      </c>
      <c r="F2" s="18">
        <f>B2+D2</f>
        <v>46787</v>
      </c>
    </row>
    <row r="3" spans="1:17" ht="15" x14ac:dyDescent="0.25">
      <c r="A3" s="34" t="s">
        <v>25</v>
      </c>
      <c r="B3" s="35">
        <v>349</v>
      </c>
      <c r="C3" s="36" t="s">
        <v>25</v>
      </c>
      <c r="D3" s="35">
        <v>299</v>
      </c>
      <c r="F3" s="48">
        <f>(F2-'25e Januari'!F2)/F2</f>
        <v>3.2273922243358198E-2</v>
      </c>
    </row>
    <row r="4" spans="1:17" x14ac:dyDescent="0.2">
      <c r="A4" s="21" t="s">
        <v>1</v>
      </c>
      <c r="B4" s="16">
        <v>388</v>
      </c>
      <c r="C4" s="22" t="s">
        <v>1</v>
      </c>
      <c r="D4" s="16">
        <v>349</v>
      </c>
    </row>
    <row r="5" spans="1:17" x14ac:dyDescent="0.2">
      <c r="A5" s="21" t="s">
        <v>55</v>
      </c>
      <c r="B5" s="16">
        <v>69</v>
      </c>
      <c r="C5" s="22" t="s">
        <v>9</v>
      </c>
      <c r="D5" s="16">
        <f>162+309</f>
        <v>471</v>
      </c>
      <c r="F5" s="17" t="s">
        <v>37</v>
      </c>
      <c r="H5" s="17" t="s">
        <v>38</v>
      </c>
      <c r="M5" s="24"/>
      <c r="N5" s="24"/>
      <c r="O5" s="52"/>
      <c r="P5" s="24"/>
    </row>
    <row r="6" spans="1:17" ht="15" x14ac:dyDescent="0.25">
      <c r="A6" s="21" t="s">
        <v>67</v>
      </c>
      <c r="B6" s="16">
        <v>1400</v>
      </c>
      <c r="C6" s="22" t="s">
        <v>11</v>
      </c>
      <c r="D6" s="16">
        <v>1233</v>
      </c>
      <c r="F6" s="18">
        <f>D20+B20</f>
        <v>32942</v>
      </c>
      <c r="H6" s="18">
        <f>F2-F6</f>
        <v>13845</v>
      </c>
      <c r="M6" s="24"/>
      <c r="N6" s="24"/>
      <c r="O6" s="52"/>
      <c r="P6" s="52"/>
      <c r="Q6" s="37"/>
    </row>
    <row r="7" spans="1:17" ht="15" x14ac:dyDescent="0.25">
      <c r="A7" s="21" t="s">
        <v>28</v>
      </c>
      <c r="B7" s="16">
        <v>500</v>
      </c>
      <c r="C7" s="22" t="s">
        <v>27</v>
      </c>
      <c r="D7" s="16">
        <v>7000</v>
      </c>
      <c r="F7" s="47">
        <f>(F6-'25e Januari'!F6)/F6</f>
        <v>1.9731649565903711E-3</v>
      </c>
      <c r="M7" s="24"/>
      <c r="N7" s="24"/>
      <c r="O7" s="52"/>
      <c r="P7" s="52"/>
      <c r="Q7" s="37"/>
    </row>
    <row r="8" spans="1:17" x14ac:dyDescent="0.2">
      <c r="A8" s="21" t="s">
        <v>56</v>
      </c>
      <c r="B8" s="16">
        <v>343</v>
      </c>
      <c r="C8" s="22" t="s">
        <v>12</v>
      </c>
      <c r="D8" s="16">
        <v>600</v>
      </c>
      <c r="H8" s="17" t="s">
        <v>42</v>
      </c>
      <c r="M8" s="24"/>
      <c r="N8" s="24"/>
      <c r="O8" s="52"/>
      <c r="P8" s="52"/>
      <c r="Q8" s="37"/>
    </row>
    <row r="9" spans="1:17" ht="15" x14ac:dyDescent="0.25">
      <c r="A9" s="21" t="s">
        <v>57</v>
      </c>
      <c r="B9" s="16">
        <v>385</v>
      </c>
      <c r="C9" s="22" t="s">
        <v>31</v>
      </c>
      <c r="D9" s="16">
        <v>1005</v>
      </c>
      <c r="H9" s="18">
        <f>H6/2</f>
        <v>6922.5</v>
      </c>
      <c r="M9" s="24"/>
      <c r="N9" s="24"/>
      <c r="O9" s="52"/>
      <c r="P9" s="52"/>
      <c r="Q9" s="37"/>
    </row>
    <row r="10" spans="1:17" x14ac:dyDescent="0.2">
      <c r="A10" s="21" t="s">
        <v>3</v>
      </c>
      <c r="B10" s="16">
        <f>235+170</f>
        <v>405</v>
      </c>
      <c r="C10" s="22" t="s">
        <v>10</v>
      </c>
      <c r="D10" s="16">
        <v>768</v>
      </c>
      <c r="M10" s="24"/>
      <c r="N10" s="24"/>
      <c r="O10" s="52"/>
      <c r="P10" s="52"/>
      <c r="Q10" s="37"/>
    </row>
    <row r="11" spans="1:17" x14ac:dyDescent="0.2">
      <c r="A11" s="21" t="s">
        <v>35</v>
      </c>
      <c r="B11" s="16">
        <v>0</v>
      </c>
      <c r="C11" s="22" t="s">
        <v>8</v>
      </c>
      <c r="D11" s="16">
        <v>145</v>
      </c>
      <c r="M11" s="24"/>
      <c r="N11" s="24"/>
      <c r="O11" s="52"/>
      <c r="P11" s="52"/>
      <c r="Q11" s="37"/>
    </row>
    <row r="12" spans="1:17" x14ac:dyDescent="0.2">
      <c r="A12" s="21" t="s">
        <v>2</v>
      </c>
      <c r="B12" s="16">
        <v>9</v>
      </c>
      <c r="C12" s="38" t="s">
        <v>64</v>
      </c>
      <c r="D12" s="16">
        <v>628</v>
      </c>
      <c r="M12" s="24"/>
      <c r="N12" s="24"/>
      <c r="O12" s="52"/>
      <c r="P12" s="52"/>
      <c r="Q12" s="37"/>
    </row>
    <row r="13" spans="1:17" x14ac:dyDescent="0.2">
      <c r="A13" s="21" t="s">
        <v>68</v>
      </c>
      <c r="B13" s="16">
        <v>67</v>
      </c>
      <c r="C13" s="38" t="s">
        <v>65</v>
      </c>
      <c r="D13" s="16">
        <v>795</v>
      </c>
      <c r="M13" s="24"/>
      <c r="N13" s="24"/>
      <c r="O13" s="52"/>
      <c r="P13" s="52"/>
      <c r="Q13" s="37"/>
    </row>
    <row r="14" spans="1:17" x14ac:dyDescent="0.2">
      <c r="A14" s="21" t="s">
        <v>69</v>
      </c>
      <c r="B14" s="16">
        <v>13470</v>
      </c>
      <c r="C14" s="22" t="s">
        <v>43</v>
      </c>
      <c r="D14" s="16">
        <v>105</v>
      </c>
      <c r="M14" s="24"/>
      <c r="N14" s="24"/>
      <c r="O14" s="52"/>
      <c r="P14" s="52"/>
      <c r="Q14" s="37"/>
    </row>
    <row r="15" spans="1:17" x14ac:dyDescent="0.2">
      <c r="A15" s="21" t="s">
        <v>58</v>
      </c>
      <c r="B15" s="16">
        <v>159</v>
      </c>
      <c r="C15" s="22" t="s">
        <v>34</v>
      </c>
      <c r="D15" s="16">
        <v>1000</v>
      </c>
      <c r="M15" s="24"/>
      <c r="N15" s="24"/>
      <c r="O15" s="52"/>
      <c r="P15" s="52"/>
      <c r="Q15" s="37"/>
    </row>
    <row r="16" spans="1:17" x14ac:dyDescent="0.2">
      <c r="A16" s="21" t="s">
        <v>36</v>
      </c>
      <c r="B16" s="16">
        <v>1000</v>
      </c>
      <c r="M16" s="24"/>
      <c r="N16" s="24"/>
      <c r="O16" s="24"/>
      <c r="P16" s="24"/>
    </row>
    <row r="17" spans="1:16" s="17" customFormat="1" x14ac:dyDescent="0.2">
      <c r="A17"/>
      <c r="B17"/>
      <c r="C17" s="19"/>
      <c r="D17" s="16"/>
      <c r="F17"/>
      <c r="H17"/>
      <c r="M17" s="24"/>
      <c r="N17" s="24"/>
      <c r="O17" s="24"/>
      <c r="P17" s="24"/>
    </row>
    <row r="18" spans="1:16" s="17" customFormat="1" x14ac:dyDescent="0.2">
      <c r="A18" s="21"/>
      <c r="B18" s="16"/>
      <c r="C18" s="19"/>
      <c r="D18" s="16"/>
      <c r="M18" s="24"/>
      <c r="N18" s="24"/>
      <c r="O18" s="24"/>
      <c r="P18" s="24"/>
    </row>
    <row r="19" spans="1:16" s="17" customFormat="1" x14ac:dyDescent="0.2">
      <c r="A19" s="21"/>
      <c r="B19" s="16"/>
      <c r="C19" s="19"/>
      <c r="D19" s="16"/>
      <c r="M19" s="24"/>
      <c r="N19" s="24"/>
      <c r="O19" s="24"/>
      <c r="P19" s="24"/>
    </row>
    <row r="20" spans="1:16" s="17" customFormat="1" ht="15" x14ac:dyDescent="0.25">
      <c r="A20" s="23" t="s">
        <v>39</v>
      </c>
      <c r="B20" s="14">
        <f>SUM(B3:B17)</f>
        <v>18544</v>
      </c>
      <c r="C20" s="15" t="s">
        <v>39</v>
      </c>
      <c r="D20" s="14">
        <f>SUM(D3:D15)</f>
        <v>14398</v>
      </c>
    </row>
    <row r="21" spans="1:16" s="17" customFormat="1" x14ac:dyDescent="0.2">
      <c r="A21" s="21" t="s">
        <v>60</v>
      </c>
      <c r="B21" s="16">
        <v>99</v>
      </c>
      <c r="C21" s="19" t="s">
        <v>41</v>
      </c>
      <c r="D21" s="16">
        <v>570</v>
      </c>
    </row>
    <row r="22" spans="1:16" s="17" customFormat="1" x14ac:dyDescent="0.2">
      <c r="A22" s="21" t="s">
        <v>70</v>
      </c>
      <c r="B22" s="16">
        <v>145</v>
      </c>
      <c r="C22" s="19"/>
      <c r="D22" s="16"/>
    </row>
    <row r="23" spans="1:16" s="17" customFormat="1" x14ac:dyDescent="0.2">
      <c r="B23" s="16"/>
      <c r="C23" s="38"/>
      <c r="D23" s="16"/>
    </row>
    <row r="24" spans="1:16" s="17" customFormat="1" x14ac:dyDescent="0.2">
      <c r="C24" s="50"/>
    </row>
    <row r="25" spans="1:16" s="17" customFormat="1" x14ac:dyDescent="0.2">
      <c r="A25"/>
      <c r="B25"/>
      <c r="C25" s="19"/>
      <c r="D25" s="16"/>
    </row>
    <row r="26" spans="1:16" s="17" customFormat="1" x14ac:dyDescent="0.2">
      <c r="A26"/>
      <c r="B26"/>
      <c r="C26" s="19"/>
      <c r="D26" s="16"/>
    </row>
    <row r="27" spans="1:16" s="17" customFormat="1" x14ac:dyDescent="0.2">
      <c r="A27"/>
      <c r="B27"/>
      <c r="C27" s="19"/>
      <c r="D27" s="16"/>
    </row>
    <row r="28" spans="1:16" s="17" customFormat="1" x14ac:dyDescent="0.2">
      <c r="A28"/>
      <c r="B28"/>
      <c r="C28" s="19"/>
      <c r="D28" s="16"/>
    </row>
    <row r="29" spans="1:16" ht="15" x14ac:dyDescent="0.25">
      <c r="A29" s="13" t="s">
        <v>49</v>
      </c>
      <c r="B29" s="14">
        <f>SUM(B21:B25)</f>
        <v>244</v>
      </c>
      <c r="C29" s="15" t="s">
        <v>49</v>
      </c>
      <c r="D29" s="14">
        <f>SUM(D21:D25)</f>
        <v>570</v>
      </c>
      <c r="H29" s="20"/>
    </row>
    <row r="30" spans="1:16" x14ac:dyDescent="0.2">
      <c r="A30" s="17" t="s">
        <v>50</v>
      </c>
      <c r="B30" s="16">
        <f>H9-B29</f>
        <v>6678.5</v>
      </c>
      <c r="C30" s="19" t="s">
        <v>50</v>
      </c>
      <c r="D30" s="16">
        <f>H9-D29</f>
        <v>6352.5</v>
      </c>
      <c r="I30"/>
    </row>
    <row r="31" spans="1:16" ht="15" x14ac:dyDescent="0.25">
      <c r="A31" s="13" t="s">
        <v>51</v>
      </c>
      <c r="B31" s="14">
        <f>(B2-B20)-B29</f>
        <v>4739</v>
      </c>
      <c r="C31" s="15" t="s">
        <v>51</v>
      </c>
      <c r="D31" s="14">
        <f>(D2-D20)-D29</f>
        <v>8292</v>
      </c>
      <c r="F31" s="20"/>
    </row>
    <row r="32" spans="1:16" x14ac:dyDescent="0.2">
      <c r="A32" s="17" t="s">
        <v>52</v>
      </c>
      <c r="B32" s="16">
        <f>B31-B30</f>
        <v>-1939.5</v>
      </c>
      <c r="C32" s="19" t="s">
        <v>52</v>
      </c>
      <c r="D32" s="16">
        <f>D31-D30</f>
        <v>1939.5</v>
      </c>
    </row>
    <row r="34" spans="1:4" ht="15" x14ac:dyDescent="0.25">
      <c r="A34" s="17" t="s">
        <v>53</v>
      </c>
      <c r="B34" s="14">
        <f>(B31-B32)+B29</f>
        <v>6922.5</v>
      </c>
      <c r="C34" s="19" t="s">
        <v>53</v>
      </c>
      <c r="D34" s="14">
        <f>(D31-D32)+D29</f>
        <v>6922.5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4"/>
  <sheetViews>
    <sheetView workbookViewId="0">
      <selection activeCell="B30" sqref="B30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28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32">
        <v>23527</v>
      </c>
      <c r="C2" s="33" t="s">
        <v>24</v>
      </c>
      <c r="D2" s="32">
        <f>20347+2650+247</f>
        <v>23244</v>
      </c>
      <c r="F2" s="18">
        <f>B2+D2</f>
        <v>46771</v>
      </c>
    </row>
    <row r="3" spans="1:18" ht="15" x14ac:dyDescent="0.25">
      <c r="A3" s="34" t="s">
        <v>25</v>
      </c>
      <c r="B3" s="35">
        <v>140</v>
      </c>
      <c r="C3" s="36" t="s">
        <v>25</v>
      </c>
      <c r="D3" s="35">
        <v>166</v>
      </c>
      <c r="F3" s="49">
        <f>(F2-'25e Februari'!F2)/F2</f>
        <v>-3.4209232216544439E-4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16">
        <v>388</v>
      </c>
      <c r="C4" s="22" t="s">
        <v>1</v>
      </c>
      <c r="D4" s="16">
        <v>349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16">
        <v>69</v>
      </c>
      <c r="C5" s="22" t="s">
        <v>9</v>
      </c>
      <c r="D5" s="16">
        <v>412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16">
        <f>1400+548</f>
        <v>1948</v>
      </c>
      <c r="C6" s="22" t="s">
        <v>11</v>
      </c>
      <c r="D6" s="16">
        <v>1233</v>
      </c>
      <c r="F6" s="18">
        <f>D20+B20</f>
        <v>33159</v>
      </c>
      <c r="H6" s="18">
        <f>F2-F6</f>
        <v>13612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16">
        <v>618</v>
      </c>
      <c r="C7" s="22" t="s">
        <v>27</v>
      </c>
      <c r="D7" s="16">
        <v>6500</v>
      </c>
      <c r="F7" s="47">
        <f>(F6-'25e Februari'!F6)/F6</f>
        <v>6.5442263035676591E-3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16">
        <v>343</v>
      </c>
      <c r="C8" s="22" t="s">
        <v>12</v>
      </c>
      <c r="D8" s="16">
        <v>500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16">
        <v>385</v>
      </c>
      <c r="C9" s="22" t="s">
        <v>31</v>
      </c>
      <c r="D9" s="16">
        <v>0</v>
      </c>
      <c r="H9" s="18">
        <f>H6/2</f>
        <v>6806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16">
        <f>235+170</f>
        <v>405</v>
      </c>
      <c r="C10" s="22" t="s">
        <v>10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16">
        <v>782</v>
      </c>
      <c r="C11" s="22" t="s">
        <v>8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16">
        <v>61</v>
      </c>
      <c r="C12" s="38" t="s">
        <v>64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16">
        <v>67</v>
      </c>
      <c r="C13" s="38" t="s">
        <v>65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16">
        <v>13496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16">
        <v>159</v>
      </c>
      <c r="C15" s="22" t="s">
        <v>34</v>
      </c>
      <c r="D15" s="16">
        <v>1000</v>
      </c>
      <c r="M15" s="24"/>
      <c r="N15" s="24"/>
      <c r="O15" s="52"/>
      <c r="P15" s="52"/>
      <c r="Q15" s="53"/>
      <c r="R15" s="24"/>
    </row>
    <row r="16" spans="1:18" x14ac:dyDescent="0.2">
      <c r="A16" s="17" t="s">
        <v>79</v>
      </c>
      <c r="B16" s="16">
        <v>426</v>
      </c>
      <c r="C16" s="19" t="s">
        <v>78</v>
      </c>
      <c r="D16" s="16">
        <v>600</v>
      </c>
      <c r="M16" s="24"/>
      <c r="N16" s="24"/>
      <c r="O16" s="24"/>
      <c r="P16" s="24"/>
      <c r="Q16" s="24"/>
      <c r="R16" s="24"/>
    </row>
    <row r="17" spans="1:18" s="17" customFormat="1" x14ac:dyDescent="0.2">
      <c r="A17" s="21" t="s">
        <v>36</v>
      </c>
      <c r="B17" s="16">
        <v>1000</v>
      </c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16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16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14">
        <f>SUM(B3:B17)</f>
        <v>20287</v>
      </c>
      <c r="C20" s="15" t="s">
        <v>39</v>
      </c>
      <c r="D20" s="14">
        <f>SUM(D3:D16)</f>
        <v>12872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16">
        <v>99</v>
      </c>
      <c r="C21" s="19" t="s">
        <v>41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16">
        <v>145</v>
      </c>
      <c r="C22" s="19"/>
      <c r="D22" s="16"/>
    </row>
    <row r="23" spans="1:18" s="17" customFormat="1" x14ac:dyDescent="0.2">
      <c r="A23" s="21" t="s">
        <v>45</v>
      </c>
      <c r="B23" s="16">
        <v>748</v>
      </c>
      <c r="C23" s="19"/>
      <c r="D23" s="16"/>
    </row>
    <row r="24" spans="1:18" s="17" customFormat="1" ht="15" x14ac:dyDescent="0.25">
      <c r="C24" s="50"/>
      <c r="H24" s="18"/>
    </row>
    <row r="25" spans="1:18" s="17" customFormat="1" x14ac:dyDescent="0.2">
      <c r="B25" s="16"/>
      <c r="C25" s="38"/>
      <c r="D25" s="16"/>
    </row>
    <row r="26" spans="1:18" s="17" customFormat="1" x14ac:dyDescent="0.2">
      <c r="A26"/>
      <c r="B26"/>
      <c r="C26" s="19"/>
      <c r="D26" s="16"/>
    </row>
    <row r="27" spans="1:18" s="17" customFormat="1" x14ac:dyDescent="0.2">
      <c r="A27"/>
      <c r="B27"/>
      <c r="C27" s="19"/>
      <c r="D27" s="16"/>
    </row>
    <row r="28" spans="1:18" s="17" customFormat="1" x14ac:dyDescent="0.2">
      <c r="A28"/>
      <c r="B28"/>
      <c r="C28" s="19"/>
      <c r="D28" s="16"/>
    </row>
    <row r="29" spans="1:18" ht="15" x14ac:dyDescent="0.25">
      <c r="A29" s="13" t="s">
        <v>49</v>
      </c>
      <c r="B29" s="14">
        <f>SUM(B21:B26)</f>
        <v>992</v>
      </c>
      <c r="C29" s="15" t="s">
        <v>49</v>
      </c>
      <c r="D29" s="14">
        <f>SUM(D21:D26)</f>
        <v>570</v>
      </c>
      <c r="H29" s="20"/>
    </row>
    <row r="30" spans="1:18" x14ac:dyDescent="0.2">
      <c r="A30" s="17" t="s">
        <v>50</v>
      </c>
      <c r="B30" s="16">
        <f>H9-B29</f>
        <v>5814</v>
      </c>
      <c r="C30" s="19" t="s">
        <v>50</v>
      </c>
      <c r="D30" s="16">
        <f>H9-D29</f>
        <v>6236</v>
      </c>
      <c r="I30"/>
    </row>
    <row r="31" spans="1:18" ht="15" x14ac:dyDescent="0.25">
      <c r="A31" s="13" t="s">
        <v>51</v>
      </c>
      <c r="B31" s="14">
        <f>(B2-B20)-B29</f>
        <v>2248</v>
      </c>
      <c r="C31" s="15" t="s">
        <v>51</v>
      </c>
      <c r="D31" s="14">
        <f>(D2-D20)-D29</f>
        <v>9802</v>
      </c>
      <c r="F31" s="20"/>
    </row>
    <row r="32" spans="1:18" x14ac:dyDescent="0.2">
      <c r="A32" s="17" t="s">
        <v>52</v>
      </c>
      <c r="B32" s="16">
        <f>B31-B30</f>
        <v>-3566</v>
      </c>
      <c r="C32" s="19" t="s">
        <v>52</v>
      </c>
      <c r="D32" s="16">
        <f>D31-D30</f>
        <v>3566</v>
      </c>
    </row>
    <row r="34" spans="1:4" ht="15" x14ac:dyDescent="0.25">
      <c r="A34" s="17" t="s">
        <v>53</v>
      </c>
      <c r="B34" s="14">
        <f>(B31-B32)+B29</f>
        <v>6806</v>
      </c>
      <c r="C34" s="19" t="s">
        <v>53</v>
      </c>
      <c r="D34" s="14">
        <f>(D31-D32)+D29</f>
        <v>6806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6CEF-C709-4DD4-A468-A0E8B54A6A5B}">
  <dimension ref="A1:AMJ34"/>
  <sheetViews>
    <sheetView workbookViewId="0">
      <selection activeCell="B3" activeCellId="1" sqref="D3:D14 B3:B15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28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32">
        <v>48568</v>
      </c>
      <c r="C2" s="33" t="s">
        <v>24</v>
      </c>
      <c r="D2" s="32">
        <f>17500+1134+660+2650</f>
        <v>21944</v>
      </c>
      <c r="F2" s="18">
        <f>B2+D2</f>
        <v>70512</v>
      </c>
      <c r="M2" s="24"/>
      <c r="N2" s="24"/>
      <c r="O2" s="52"/>
      <c r="P2" s="24"/>
      <c r="Q2" s="24"/>
      <c r="R2" s="24"/>
    </row>
    <row r="3" spans="1:18" ht="15" x14ac:dyDescent="0.25">
      <c r="A3" s="34" t="s">
        <v>25</v>
      </c>
      <c r="B3" s="35">
        <v>0</v>
      </c>
      <c r="C3" s="36" t="s">
        <v>25</v>
      </c>
      <c r="D3" s="35">
        <v>0</v>
      </c>
      <c r="F3" s="48">
        <f>(F2-'25e Mars'!F2)/F2</f>
        <v>0.33669446335375541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16">
        <v>388</v>
      </c>
      <c r="C4" s="22" t="s">
        <v>1</v>
      </c>
      <c r="D4" s="16">
        <v>349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16">
        <v>69</v>
      </c>
      <c r="C5" s="22" t="s">
        <v>9</v>
      </c>
      <c r="D5" s="16">
        <v>432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16">
        <v>1400</v>
      </c>
      <c r="C6" s="22" t="s">
        <v>11</v>
      </c>
      <c r="D6" s="16">
        <v>1233</v>
      </c>
      <c r="F6" s="18">
        <f>D20+B20</f>
        <v>36133.24</v>
      </c>
      <c r="H6" s="18">
        <f>F2-F6</f>
        <v>34378.76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16">
        <v>1000</v>
      </c>
      <c r="C7" s="22" t="s">
        <v>27</v>
      </c>
      <c r="D7" s="16">
        <v>7000</v>
      </c>
      <c r="F7" s="47">
        <f>(F6-'25e Mars'!F6)/F6</f>
        <v>8.2313127746086373E-2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16">
        <v>343</v>
      </c>
      <c r="C8" s="22" t="s">
        <v>12</v>
      </c>
      <c r="D8" s="16">
        <f>319</f>
        <v>319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16">
        <v>385</v>
      </c>
      <c r="C9" s="22" t="s">
        <v>31</v>
      </c>
      <c r="D9" s="16">
        <v>0</v>
      </c>
      <c r="H9" s="18">
        <f>H6/2</f>
        <v>17189.38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16">
        <f>235+170</f>
        <v>405</v>
      </c>
      <c r="C10" s="22" t="s">
        <v>10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16">
        <v>1391.24</v>
      </c>
      <c r="C11" s="22" t="s">
        <v>8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16">
        <v>18</v>
      </c>
      <c r="C12" s="38" t="s">
        <v>64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16">
        <v>67</v>
      </c>
      <c r="C13" s="38" t="s">
        <v>65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16">
        <v>13563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16">
        <v>159</v>
      </c>
      <c r="C15" s="22" t="s">
        <v>34</v>
      </c>
      <c r="D15" s="16">
        <v>1000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36</v>
      </c>
      <c r="B16" s="16">
        <v>4000</v>
      </c>
      <c r="C16" s="19" t="s">
        <v>78</v>
      </c>
      <c r="D16" s="16">
        <v>500</v>
      </c>
      <c r="M16" s="24"/>
      <c r="N16" s="24"/>
      <c r="O16" s="24"/>
      <c r="P16" s="24"/>
      <c r="Q16" s="24"/>
      <c r="R16" s="24"/>
    </row>
    <row r="17" spans="1:18" s="17" customFormat="1" x14ac:dyDescent="0.2">
      <c r="A17"/>
      <c r="B17"/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16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16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14">
        <f>SUM(B3:B17)</f>
        <v>23188.239999999998</v>
      </c>
      <c r="C20" s="15" t="s">
        <v>39</v>
      </c>
      <c r="D20" s="14">
        <f>SUM(D3:D16)</f>
        <v>12945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16">
        <v>99</v>
      </c>
      <c r="C21" s="19" t="s">
        <v>41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16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45</v>
      </c>
      <c r="B23" s="16">
        <v>880</v>
      </c>
      <c r="C23" s="19"/>
      <c r="D23" s="16"/>
    </row>
    <row r="24" spans="1:18" s="17" customFormat="1" x14ac:dyDescent="0.2">
      <c r="C24" s="50"/>
      <c r="H24" s="72"/>
      <c r="I24" s="73"/>
    </row>
    <row r="25" spans="1:18" s="17" customFormat="1" x14ac:dyDescent="0.2">
      <c r="B25" s="16"/>
      <c r="C25" s="38"/>
      <c r="D25" s="16"/>
      <c r="H25" s="74"/>
      <c r="I25" s="73"/>
    </row>
    <row r="26" spans="1:18" s="17" customFormat="1" x14ac:dyDescent="0.2">
      <c r="A26"/>
      <c r="B26"/>
      <c r="C26" s="19"/>
      <c r="D26" s="16"/>
    </row>
    <row r="27" spans="1:18" s="17" customFormat="1" x14ac:dyDescent="0.2">
      <c r="A27"/>
      <c r="B27"/>
      <c r="C27" s="19"/>
      <c r="D27" s="16"/>
    </row>
    <row r="28" spans="1:18" s="17" customFormat="1" x14ac:dyDescent="0.2">
      <c r="A28"/>
      <c r="B28"/>
      <c r="C28" s="19"/>
      <c r="D28" s="16"/>
    </row>
    <row r="29" spans="1:18" s="17" customFormat="1" ht="15" x14ac:dyDescent="0.25">
      <c r="A29" s="13" t="s">
        <v>49</v>
      </c>
      <c r="B29" s="14">
        <f>SUM(B21:B26)</f>
        <v>1124</v>
      </c>
      <c r="C29" s="15" t="s">
        <v>49</v>
      </c>
      <c r="D29" s="14">
        <f>SUM(D21:D26)</f>
        <v>570</v>
      </c>
      <c r="H29" s="20"/>
      <c r="O29" s="30"/>
    </row>
    <row r="30" spans="1:18" s="17" customFormat="1" x14ac:dyDescent="0.2">
      <c r="A30" s="17" t="s">
        <v>50</v>
      </c>
      <c r="B30" s="16">
        <f>H9-B29</f>
        <v>16065.380000000001</v>
      </c>
      <c r="C30" s="19" t="s">
        <v>50</v>
      </c>
      <c r="D30" s="16">
        <f>H9-D29</f>
        <v>16619.38</v>
      </c>
      <c r="I30"/>
      <c r="O30" s="30"/>
    </row>
    <row r="31" spans="1:18" s="17" customFormat="1" ht="15" x14ac:dyDescent="0.25">
      <c r="A31" s="13" t="s">
        <v>51</v>
      </c>
      <c r="B31" s="14">
        <f>(B2-B20)-B29</f>
        <v>24255.760000000002</v>
      </c>
      <c r="C31" s="15" t="s">
        <v>51</v>
      </c>
      <c r="D31" s="14">
        <f>(D2-D20)-D29</f>
        <v>8429</v>
      </c>
      <c r="F31" s="20"/>
      <c r="O31" s="30"/>
    </row>
    <row r="32" spans="1:18" s="17" customFormat="1" x14ac:dyDescent="0.2">
      <c r="A32" s="17" t="s">
        <v>52</v>
      </c>
      <c r="B32" s="16">
        <f>B31-B30</f>
        <v>8190.380000000001</v>
      </c>
      <c r="C32" s="19" t="s">
        <v>52</v>
      </c>
      <c r="D32" s="16">
        <f>D31-D30</f>
        <v>-8190.380000000001</v>
      </c>
      <c r="O32" s="30"/>
    </row>
    <row r="34" spans="1:15" s="17" customFormat="1" ht="15" x14ac:dyDescent="0.25">
      <c r="A34" s="17" t="s">
        <v>53</v>
      </c>
      <c r="B34" s="14">
        <f>(B31-B32)+B29</f>
        <v>17189.38</v>
      </c>
      <c r="C34" s="19" t="s">
        <v>53</v>
      </c>
      <c r="D34" s="14">
        <f>(D31-D32)+D29</f>
        <v>17189.38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A6B5-ABD1-4E24-AFE0-81540D9F26E9}">
  <dimension ref="A1:AMJ34"/>
  <sheetViews>
    <sheetView workbookViewId="0">
      <selection activeCell="J26" sqref="J26"/>
    </sheetView>
  </sheetViews>
  <sheetFormatPr defaultRowHeight="14.25" x14ac:dyDescent="0.2"/>
  <cols>
    <col min="1" max="1" width="26.5" style="17" customWidth="1"/>
    <col min="2" max="2" width="12.375" style="16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28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32">
        <v>24399</v>
      </c>
      <c r="C2" s="33" t="s">
        <v>24</v>
      </c>
      <c r="D2" s="32">
        <f>20140+2650</f>
        <v>22790</v>
      </c>
      <c r="F2" s="18">
        <f>B2+D2</f>
        <v>47189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71">
        <v>109</v>
      </c>
      <c r="C3" s="36" t="s">
        <v>25</v>
      </c>
      <c r="D3" s="35">
        <v>0</v>
      </c>
      <c r="F3" s="47">
        <f>(F2-'25e April'!F2)/F2</f>
        <v>-0.49424654050732164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16">
        <v>388</v>
      </c>
      <c r="C4" s="22" t="s">
        <v>1</v>
      </c>
      <c r="D4" s="16">
        <v>349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16">
        <v>69</v>
      </c>
      <c r="C5" s="22" t="s">
        <v>9</v>
      </c>
      <c r="D5" s="16">
        <v>432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16">
        <v>1400</v>
      </c>
      <c r="C6" s="22" t="s">
        <v>11</v>
      </c>
      <c r="D6" s="16">
        <v>1233</v>
      </c>
      <c r="F6" s="18">
        <f>D20+B20</f>
        <v>28987</v>
      </c>
      <c r="H6" s="18">
        <f>F2-F6</f>
        <v>18202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16">
        <v>500</v>
      </c>
      <c r="C7" s="22" t="s">
        <v>27</v>
      </c>
      <c r="D7" s="16">
        <v>7000</v>
      </c>
      <c r="F7" s="48">
        <f>(F6-'25e April'!F6)/F6</f>
        <v>-0.24653258357194596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16">
        <v>343</v>
      </c>
      <c r="C8" s="22" t="s">
        <v>12</v>
      </c>
      <c r="D8" s="16">
        <v>0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16">
        <v>385</v>
      </c>
      <c r="C9" s="22" t="s">
        <v>31</v>
      </c>
      <c r="D9" s="16">
        <v>0</v>
      </c>
      <c r="H9" s="18">
        <f>H6/2</f>
        <v>9101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16">
        <f>235+170</f>
        <v>405</v>
      </c>
      <c r="C10" s="22" t="s">
        <v>10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16">
        <v>399</v>
      </c>
      <c r="C11" s="22" t="s">
        <v>8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16">
        <v>18</v>
      </c>
      <c r="C12" s="38" t="s">
        <v>64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16">
        <v>67</v>
      </c>
      <c r="C13" s="38" t="s">
        <v>65</v>
      </c>
      <c r="D13" s="16">
        <v>795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16">
        <v>13619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16">
        <v>159</v>
      </c>
      <c r="C15" s="22" t="s">
        <v>34</v>
      </c>
      <c r="D15" s="16">
        <v>0</v>
      </c>
      <c r="M15" s="24"/>
      <c r="N15" s="24"/>
      <c r="O15" s="52"/>
      <c r="P15" s="52"/>
      <c r="Q15" s="53"/>
      <c r="R15" s="24"/>
    </row>
    <row r="16" spans="1:18" x14ac:dyDescent="0.2">
      <c r="A16" s="21" t="s">
        <v>36</v>
      </c>
      <c r="B16" s="16">
        <v>0</v>
      </c>
      <c r="C16" s="19" t="s">
        <v>78</v>
      </c>
      <c r="D16" s="16">
        <v>0</v>
      </c>
      <c r="M16" s="24"/>
      <c r="N16" s="24"/>
      <c r="O16" s="24"/>
      <c r="P16" s="24"/>
      <c r="Q16" s="24"/>
      <c r="R16" s="24"/>
    </row>
    <row r="17" spans="1:18" s="17" customFormat="1" x14ac:dyDescent="0.2">
      <c r="A17"/>
      <c r="B17"/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16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16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14">
        <f>SUM(B3:B17)</f>
        <v>17861</v>
      </c>
      <c r="C20" s="15" t="s">
        <v>39</v>
      </c>
      <c r="D20" s="14">
        <f>SUM(D3:D16)</f>
        <v>11126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16">
        <v>99</v>
      </c>
      <c r="C21" s="19" t="s">
        <v>41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16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45</v>
      </c>
      <c r="B23" s="16">
        <v>880</v>
      </c>
      <c r="C23" s="19"/>
      <c r="D23" s="16"/>
      <c r="H23" s="24"/>
      <c r="I23" s="24"/>
    </row>
    <row r="24" spans="1:18" s="17" customFormat="1" ht="15" x14ac:dyDescent="0.25">
      <c r="C24" s="50"/>
      <c r="H24" s="75"/>
      <c r="I24" s="76"/>
    </row>
    <row r="25" spans="1:18" s="17" customFormat="1" x14ac:dyDescent="0.2">
      <c r="B25" s="16"/>
      <c r="C25" s="38"/>
      <c r="D25" s="16"/>
      <c r="H25" s="74"/>
      <c r="I25" s="76"/>
    </row>
    <row r="26" spans="1:18" s="17" customFormat="1" x14ac:dyDescent="0.2">
      <c r="A26"/>
      <c r="B26"/>
      <c r="C26" s="19"/>
      <c r="D26" s="16"/>
      <c r="H26" s="24"/>
      <c r="I26" s="24"/>
    </row>
    <row r="27" spans="1:18" s="17" customFormat="1" x14ac:dyDescent="0.2">
      <c r="A27"/>
      <c r="B27"/>
      <c r="C27" s="19"/>
      <c r="D27" s="16"/>
    </row>
    <row r="28" spans="1:18" s="17" customFormat="1" x14ac:dyDescent="0.2">
      <c r="A28"/>
      <c r="B28"/>
      <c r="C28" s="19"/>
      <c r="D28" s="16"/>
    </row>
    <row r="29" spans="1:18" s="17" customFormat="1" ht="15" x14ac:dyDescent="0.25">
      <c r="A29" s="13" t="s">
        <v>49</v>
      </c>
      <c r="B29" s="14">
        <f>SUM(B21:B26)</f>
        <v>1124</v>
      </c>
      <c r="C29" s="15" t="s">
        <v>49</v>
      </c>
      <c r="D29" s="14">
        <f>SUM(D21:D26)</f>
        <v>570</v>
      </c>
      <c r="H29" s="20"/>
      <c r="O29" s="30"/>
    </row>
    <row r="30" spans="1:18" s="17" customFormat="1" x14ac:dyDescent="0.2">
      <c r="A30" s="17" t="s">
        <v>50</v>
      </c>
      <c r="B30" s="16">
        <f>H9-B29</f>
        <v>7977</v>
      </c>
      <c r="C30" s="19" t="s">
        <v>50</v>
      </c>
      <c r="D30" s="16">
        <f>H9-D29</f>
        <v>8531</v>
      </c>
      <c r="I30"/>
      <c r="O30" s="30"/>
    </row>
    <row r="31" spans="1:18" s="17" customFormat="1" ht="15" x14ac:dyDescent="0.25">
      <c r="A31" s="13" t="s">
        <v>51</v>
      </c>
      <c r="B31" s="14">
        <f>(B2-B20)-B29</f>
        <v>5414</v>
      </c>
      <c r="C31" s="15" t="s">
        <v>51</v>
      </c>
      <c r="D31" s="14">
        <f>(D2-D20)-D29</f>
        <v>11094</v>
      </c>
      <c r="F31" s="20"/>
      <c r="O31" s="30"/>
    </row>
    <row r="32" spans="1:18" s="17" customFormat="1" x14ac:dyDescent="0.2">
      <c r="A32" s="17" t="s">
        <v>52</v>
      </c>
      <c r="B32" s="16">
        <f>B31-B30</f>
        <v>-2563</v>
      </c>
      <c r="C32" s="19" t="s">
        <v>52</v>
      </c>
      <c r="D32" s="16">
        <f>D31-D30</f>
        <v>2563</v>
      </c>
      <c r="O32" s="30"/>
    </row>
    <row r="34" spans="1:15" s="17" customFormat="1" ht="15" x14ac:dyDescent="0.25">
      <c r="A34" s="17" t="s">
        <v>53</v>
      </c>
      <c r="B34" s="14">
        <f>(B31-B32)+B29</f>
        <v>9101</v>
      </c>
      <c r="C34" s="19" t="s">
        <v>53</v>
      </c>
      <c r="D34" s="14">
        <f>(D31-D32)+D29</f>
        <v>9101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55FC-DD3D-4C55-947F-2D11E7C34770}">
  <dimension ref="A1:AMJ34"/>
  <sheetViews>
    <sheetView workbookViewId="0">
      <selection activeCell="Q28" sqref="Q28"/>
    </sheetView>
  </sheetViews>
  <sheetFormatPr defaultRowHeight="14.25" x14ac:dyDescent="0.2"/>
  <cols>
    <col min="1" max="1" width="26.5" style="17" customWidth="1"/>
    <col min="2" max="2" width="12.375" style="77" customWidth="1"/>
    <col min="3" max="3" width="26.5" style="19" customWidth="1"/>
    <col min="4" max="4" width="12.375" style="16" customWidth="1"/>
    <col min="5" max="5" width="8.75" style="17" customWidth="1"/>
    <col min="6" max="6" width="12.375" style="17" customWidth="1"/>
    <col min="7" max="7" width="8.75" style="17" customWidth="1"/>
    <col min="8" max="8" width="12.375" style="17" customWidth="1"/>
    <col min="9" max="13" width="8.75" style="17" customWidth="1"/>
    <col min="14" max="14" width="18.375" style="17" customWidth="1"/>
    <col min="15" max="15" width="16" style="30" customWidth="1"/>
    <col min="16" max="16" width="13.875" style="17" customWidth="1"/>
    <col min="17" max="1024" width="8.75" style="17" customWidth="1"/>
  </cols>
  <sheetData>
    <row r="1" spans="1:18" ht="21.6" customHeight="1" x14ac:dyDescent="0.25">
      <c r="A1" s="25" t="s">
        <v>13</v>
      </c>
      <c r="B1" s="79"/>
      <c r="C1" s="26" t="s">
        <v>14</v>
      </c>
      <c r="D1" s="29"/>
      <c r="F1" s="17" t="s">
        <v>23</v>
      </c>
    </row>
    <row r="2" spans="1:18" ht="15" x14ac:dyDescent="0.25">
      <c r="A2" s="31" t="s">
        <v>24</v>
      </c>
      <c r="B2" s="80">
        <v>29478</v>
      </c>
      <c r="C2" s="33" t="s">
        <v>24</v>
      </c>
      <c r="D2" s="32">
        <f>2650+18475+1983+567</f>
        <v>23675</v>
      </c>
      <c r="F2" s="18">
        <f>B2+D2</f>
        <v>53153</v>
      </c>
      <c r="M2" s="24"/>
      <c r="N2" s="24"/>
      <c r="O2" s="52"/>
      <c r="P2" s="24"/>
      <c r="Q2" s="24"/>
      <c r="R2" s="24"/>
    </row>
    <row r="3" spans="1:18" ht="15" x14ac:dyDescent="0.25">
      <c r="A3" s="70" t="s">
        <v>82</v>
      </c>
      <c r="B3" s="81">
        <v>109</v>
      </c>
      <c r="C3" s="36" t="s">
        <v>25</v>
      </c>
      <c r="D3" s="35">
        <v>0</v>
      </c>
      <c r="F3" s="48">
        <f>(F2-'25e Maj'!F2)/F2</f>
        <v>0.11220439109739808</v>
      </c>
      <c r="M3" s="24"/>
      <c r="N3" s="24"/>
      <c r="O3" s="52"/>
      <c r="P3" s="24"/>
      <c r="Q3" s="24"/>
      <c r="R3" s="24"/>
    </row>
    <row r="4" spans="1:18" x14ac:dyDescent="0.2">
      <c r="A4" s="21" t="s">
        <v>1</v>
      </c>
      <c r="B4" s="77">
        <v>209</v>
      </c>
      <c r="C4" s="22" t="s">
        <v>1</v>
      </c>
      <c r="D4" s="16">
        <v>269</v>
      </c>
      <c r="M4" s="24"/>
      <c r="N4" s="24"/>
      <c r="O4" s="52"/>
      <c r="P4" s="24"/>
      <c r="Q4" s="24"/>
      <c r="R4" s="24"/>
    </row>
    <row r="5" spans="1:18" x14ac:dyDescent="0.2">
      <c r="A5" s="21" t="s">
        <v>55</v>
      </c>
      <c r="B5" s="77">
        <v>69</v>
      </c>
      <c r="C5" s="22" t="s">
        <v>9</v>
      </c>
      <c r="D5" s="16">
        <v>436</v>
      </c>
      <c r="F5" s="17" t="s">
        <v>37</v>
      </c>
      <c r="H5" s="17" t="s">
        <v>38</v>
      </c>
      <c r="M5" s="24"/>
      <c r="N5" s="24"/>
      <c r="O5" s="52"/>
      <c r="P5" s="24"/>
      <c r="Q5" s="24"/>
      <c r="R5" s="24"/>
    </row>
    <row r="6" spans="1:18" ht="15" x14ac:dyDescent="0.25">
      <c r="A6" s="21" t="s">
        <v>67</v>
      </c>
      <c r="B6" s="77">
        <v>1400</v>
      </c>
      <c r="C6" s="22" t="s">
        <v>11</v>
      </c>
      <c r="D6" s="16">
        <v>2013</v>
      </c>
      <c r="F6" s="18">
        <f>D20+B20</f>
        <v>38927</v>
      </c>
      <c r="H6" s="18">
        <f>F2-F6</f>
        <v>14226</v>
      </c>
      <c r="M6" s="24"/>
      <c r="N6" s="24"/>
      <c r="O6" s="52"/>
      <c r="P6" s="52"/>
      <c r="Q6" s="53"/>
      <c r="R6" s="24"/>
    </row>
    <row r="7" spans="1:18" ht="15" x14ac:dyDescent="0.25">
      <c r="A7" s="21" t="s">
        <v>28</v>
      </c>
      <c r="B7" s="77">
        <v>500</v>
      </c>
      <c r="C7" s="22" t="s">
        <v>27</v>
      </c>
      <c r="D7" s="16">
        <v>7000</v>
      </c>
      <c r="F7" s="47">
        <f>(F6-'25e Maj'!F6)/F6</f>
        <v>0.25534975723790687</v>
      </c>
      <c r="M7" s="24"/>
      <c r="N7" s="24"/>
      <c r="O7" s="52"/>
      <c r="P7" s="52"/>
      <c r="Q7" s="53"/>
      <c r="R7" s="24"/>
    </row>
    <row r="8" spans="1:18" x14ac:dyDescent="0.2">
      <c r="A8" s="21" t="s">
        <v>56</v>
      </c>
      <c r="B8" s="77">
        <v>343</v>
      </c>
      <c r="C8" s="22" t="s">
        <v>12</v>
      </c>
      <c r="D8" s="16">
        <f>590+820</f>
        <v>1410</v>
      </c>
      <c r="F8" s="17" t="s">
        <v>85</v>
      </c>
      <c r="H8" s="17" t="s">
        <v>42</v>
      </c>
      <c r="M8" s="24"/>
      <c r="N8" s="24"/>
      <c r="O8" s="52"/>
      <c r="P8" s="52"/>
      <c r="Q8" s="53"/>
      <c r="R8" s="24"/>
    </row>
    <row r="9" spans="1:18" ht="15" x14ac:dyDescent="0.25">
      <c r="A9" s="21" t="s">
        <v>57</v>
      </c>
      <c r="B9" s="77">
        <v>385</v>
      </c>
      <c r="C9" s="22" t="s">
        <v>31</v>
      </c>
      <c r="D9" s="16">
        <v>0</v>
      </c>
      <c r="F9" s="84">
        <f>F6-(('25e December'!F6+'25e Januari'!F6+'25e Februari'!F6+'25e Mars'!F6+'25e April'!F6+'25e Maj'!F6)/6)</f>
        <v>6388.2933333333349</v>
      </c>
      <c r="H9" s="18">
        <f>H6/2</f>
        <v>7113</v>
      </c>
      <c r="M9" s="24"/>
      <c r="N9" s="24"/>
      <c r="O9" s="52"/>
      <c r="P9" s="52"/>
      <c r="Q9" s="53"/>
      <c r="R9" s="24"/>
    </row>
    <row r="10" spans="1:18" x14ac:dyDescent="0.2">
      <c r="A10" s="21" t="s">
        <v>3</v>
      </c>
      <c r="B10" s="77">
        <f>235+170</f>
        <v>405</v>
      </c>
      <c r="C10" s="22" t="s">
        <v>10</v>
      </c>
      <c r="D10" s="16">
        <v>439</v>
      </c>
      <c r="M10" s="24"/>
      <c r="N10" s="24"/>
      <c r="O10" s="52"/>
      <c r="P10" s="52"/>
      <c r="Q10" s="53"/>
      <c r="R10" s="24"/>
    </row>
    <row r="11" spans="1:18" x14ac:dyDescent="0.2">
      <c r="A11" s="21" t="s">
        <v>35</v>
      </c>
      <c r="B11" s="77">
        <v>1108</v>
      </c>
      <c r="C11" s="22" t="s">
        <v>8</v>
      </c>
      <c r="D11" s="16">
        <v>145</v>
      </c>
      <c r="M11" s="24"/>
      <c r="N11" s="24"/>
      <c r="O11" s="52"/>
      <c r="P11" s="52"/>
      <c r="Q11" s="53"/>
      <c r="R11" s="24"/>
    </row>
    <row r="12" spans="1:18" x14ac:dyDescent="0.2">
      <c r="A12" s="21" t="s">
        <v>2</v>
      </c>
      <c r="B12" s="77">
        <v>9</v>
      </c>
      <c r="C12" s="38" t="s">
        <v>64</v>
      </c>
      <c r="D12" s="16">
        <v>628</v>
      </c>
      <c r="M12" s="24"/>
      <c r="N12" s="24"/>
      <c r="O12" s="52"/>
      <c r="P12" s="52"/>
      <c r="Q12" s="53"/>
      <c r="R12" s="24"/>
    </row>
    <row r="13" spans="1:18" x14ac:dyDescent="0.2">
      <c r="A13" s="21" t="s">
        <v>68</v>
      </c>
      <c r="B13" s="77">
        <v>67</v>
      </c>
      <c r="C13" s="38" t="s">
        <v>65</v>
      </c>
      <c r="D13" s="16">
        <v>0</v>
      </c>
      <c r="M13" s="24"/>
      <c r="N13" s="24"/>
      <c r="O13" s="52"/>
      <c r="P13" s="52"/>
      <c r="Q13" s="53"/>
      <c r="R13" s="24"/>
    </row>
    <row r="14" spans="1:18" x14ac:dyDescent="0.2">
      <c r="A14" s="21" t="s">
        <v>69</v>
      </c>
      <c r="B14" s="77">
        <v>13555</v>
      </c>
      <c r="C14" s="22" t="s">
        <v>43</v>
      </c>
      <c r="D14" s="16">
        <v>105</v>
      </c>
      <c r="M14" s="24"/>
      <c r="N14" s="24"/>
      <c r="O14" s="52"/>
      <c r="P14" s="52"/>
      <c r="Q14" s="53"/>
      <c r="R14" s="24"/>
    </row>
    <row r="15" spans="1:18" x14ac:dyDescent="0.2">
      <c r="A15" s="21" t="s">
        <v>58</v>
      </c>
      <c r="B15" s="77">
        <v>159</v>
      </c>
      <c r="C15" s="22" t="s">
        <v>34</v>
      </c>
      <c r="D15" s="16">
        <v>5700</v>
      </c>
      <c r="M15" s="24"/>
      <c r="N15" s="24"/>
      <c r="O15" s="52"/>
      <c r="P15" s="52"/>
      <c r="Q15" s="53"/>
      <c r="R15" s="24"/>
    </row>
    <row r="16" spans="1:18" x14ac:dyDescent="0.2">
      <c r="A16" s="21" t="s">
        <v>36</v>
      </c>
      <c r="B16" s="77">
        <v>1000</v>
      </c>
      <c r="C16" s="19" t="s">
        <v>78</v>
      </c>
      <c r="D16" s="16">
        <v>0</v>
      </c>
      <c r="M16" s="24"/>
      <c r="N16" s="24"/>
      <c r="O16" s="24"/>
      <c r="P16" s="24"/>
      <c r="Q16" s="24"/>
      <c r="R16" s="24"/>
    </row>
    <row r="17" spans="1:18" s="17" customFormat="1" x14ac:dyDescent="0.2">
      <c r="A17" s="21" t="s">
        <v>12</v>
      </c>
      <c r="B17" s="77">
        <f>500+964</f>
        <v>1464</v>
      </c>
      <c r="C17" s="19"/>
      <c r="D17" s="16"/>
      <c r="F17"/>
      <c r="H17"/>
      <c r="M17" s="24"/>
      <c r="N17" s="24"/>
      <c r="O17" s="24"/>
      <c r="P17" s="24"/>
      <c r="Q17" s="24"/>
      <c r="R17" s="24"/>
    </row>
    <row r="18" spans="1:18" s="17" customFormat="1" x14ac:dyDescent="0.2">
      <c r="A18" s="21"/>
      <c r="B18" s="77"/>
      <c r="C18" s="19"/>
      <c r="D18" s="16"/>
      <c r="M18" s="24"/>
      <c r="N18" s="24"/>
      <c r="O18" s="24"/>
      <c r="P18" s="24"/>
      <c r="Q18" s="24"/>
      <c r="R18" s="24"/>
    </row>
    <row r="19" spans="1:18" s="17" customFormat="1" x14ac:dyDescent="0.2">
      <c r="A19" s="21"/>
      <c r="B19" s="77"/>
      <c r="C19" s="19"/>
      <c r="D19" s="16"/>
      <c r="M19" s="24"/>
      <c r="N19" s="24"/>
      <c r="O19" s="24"/>
      <c r="P19" s="24"/>
      <c r="Q19" s="24"/>
      <c r="R19" s="24"/>
    </row>
    <row r="20" spans="1:18" s="17" customFormat="1" ht="15" x14ac:dyDescent="0.25">
      <c r="A20" s="23" t="s">
        <v>39</v>
      </c>
      <c r="B20" s="82">
        <f>SUM(B3:B17)</f>
        <v>20782</v>
      </c>
      <c r="C20" s="15" t="s">
        <v>39</v>
      </c>
      <c r="D20" s="14">
        <f>SUM(D3:D16)</f>
        <v>18145</v>
      </c>
      <c r="M20" s="24"/>
      <c r="N20" s="24"/>
      <c r="O20" s="24"/>
      <c r="P20" s="24"/>
      <c r="Q20" s="24"/>
      <c r="R20" s="24"/>
    </row>
    <row r="21" spans="1:18" s="17" customFormat="1" x14ac:dyDescent="0.2">
      <c r="A21" s="21" t="s">
        <v>60</v>
      </c>
      <c r="B21" s="77">
        <v>99</v>
      </c>
      <c r="C21" s="19" t="s">
        <v>41</v>
      </c>
      <c r="D21" s="16">
        <v>570</v>
      </c>
      <c r="M21" s="24"/>
      <c r="N21" s="24"/>
      <c r="O21" s="24"/>
      <c r="P21" s="24"/>
      <c r="Q21" s="24"/>
      <c r="R21" s="24"/>
    </row>
    <row r="22" spans="1:18" s="17" customFormat="1" x14ac:dyDescent="0.2">
      <c r="A22" s="21" t="s">
        <v>70</v>
      </c>
      <c r="B22" s="77">
        <v>145</v>
      </c>
      <c r="C22" s="19"/>
      <c r="D22" s="16"/>
      <c r="M22" s="24"/>
      <c r="N22" s="24"/>
      <c r="O22" s="24"/>
      <c r="P22" s="24"/>
      <c r="Q22" s="24"/>
      <c r="R22" s="24"/>
    </row>
    <row r="23" spans="1:18" s="17" customFormat="1" x14ac:dyDescent="0.2">
      <c r="A23" s="21" t="s">
        <v>45</v>
      </c>
      <c r="B23" s="77">
        <v>880</v>
      </c>
      <c r="C23" s="19"/>
      <c r="D23" s="16"/>
      <c r="H23" s="24"/>
      <c r="I23" s="24"/>
    </row>
    <row r="24" spans="1:18" s="17" customFormat="1" ht="15" x14ac:dyDescent="0.25">
      <c r="A24" s="78" t="s">
        <v>83</v>
      </c>
      <c r="B24" s="83">
        <v>2100</v>
      </c>
      <c r="C24" s="50"/>
      <c r="H24" s="75"/>
      <c r="I24" s="76"/>
    </row>
    <row r="25" spans="1:18" s="17" customFormat="1" ht="15" x14ac:dyDescent="0.25">
      <c r="A25" s="78" t="s">
        <v>84</v>
      </c>
      <c r="B25" s="83">
        <v>2500</v>
      </c>
      <c r="C25" s="38"/>
      <c r="D25" s="16"/>
      <c r="H25" s="74"/>
      <c r="I25" s="76"/>
    </row>
    <row r="26" spans="1:18" s="17" customFormat="1" x14ac:dyDescent="0.2">
      <c r="A26"/>
      <c r="B26" s="46"/>
      <c r="C26" s="19"/>
      <c r="D26" s="16"/>
      <c r="H26" s="24"/>
      <c r="I26" s="24"/>
    </row>
    <row r="27" spans="1:18" s="17" customFormat="1" x14ac:dyDescent="0.2">
      <c r="A27"/>
      <c r="B27" s="46"/>
      <c r="C27" s="19"/>
      <c r="D27" s="16"/>
    </row>
    <row r="28" spans="1:18" s="17" customFormat="1" x14ac:dyDescent="0.2">
      <c r="A28"/>
      <c r="B28" s="46"/>
      <c r="C28" s="19"/>
      <c r="D28" s="16"/>
    </row>
    <row r="29" spans="1:18" s="17" customFormat="1" ht="15" x14ac:dyDescent="0.25">
      <c r="A29" s="13" t="s">
        <v>49</v>
      </c>
      <c r="B29" s="82">
        <f>SUM(B21:B26)</f>
        <v>5724</v>
      </c>
      <c r="C29" s="15" t="s">
        <v>49</v>
      </c>
      <c r="D29" s="14">
        <f>SUM(D21:D26)</f>
        <v>570</v>
      </c>
      <c r="H29" s="20"/>
      <c r="O29" s="30"/>
    </row>
    <row r="30" spans="1:18" s="17" customFormat="1" x14ac:dyDescent="0.2">
      <c r="A30" s="17" t="s">
        <v>50</v>
      </c>
      <c r="B30" s="77">
        <f>H9-B29</f>
        <v>1389</v>
      </c>
      <c r="C30" s="19" t="s">
        <v>50</v>
      </c>
      <c r="D30" s="16">
        <f>H9-D29</f>
        <v>6543</v>
      </c>
      <c r="I30"/>
      <c r="O30" s="30"/>
    </row>
    <row r="31" spans="1:18" s="17" customFormat="1" ht="15" x14ac:dyDescent="0.25">
      <c r="A31" s="13" t="s">
        <v>51</v>
      </c>
      <c r="B31" s="82">
        <f>(B2-B20)-B29</f>
        <v>2972</v>
      </c>
      <c r="C31" s="15" t="s">
        <v>51</v>
      </c>
      <c r="D31" s="14">
        <f>(D2-D20)-D29</f>
        <v>4960</v>
      </c>
      <c r="F31" s="20"/>
      <c r="O31" s="30"/>
    </row>
    <row r="32" spans="1:18" s="17" customFormat="1" x14ac:dyDescent="0.2">
      <c r="A32" s="17" t="s">
        <v>52</v>
      </c>
      <c r="B32" s="77">
        <f>B31-B30</f>
        <v>1583</v>
      </c>
      <c r="C32" s="19" t="s">
        <v>52</v>
      </c>
      <c r="D32" s="16">
        <f>D31-D30</f>
        <v>-1583</v>
      </c>
      <c r="O32" s="30"/>
    </row>
    <row r="34" spans="1:15" s="17" customFormat="1" ht="15" x14ac:dyDescent="0.25">
      <c r="A34" s="17" t="s">
        <v>53</v>
      </c>
      <c r="B34" s="82">
        <f>(B31-B32)+B29</f>
        <v>7113</v>
      </c>
      <c r="C34" s="19" t="s">
        <v>53</v>
      </c>
      <c r="D34" s="14">
        <f>(D31-D32)+D29</f>
        <v>7113</v>
      </c>
      <c r="O34" s="30"/>
    </row>
  </sheetData>
  <pageMargins left="0.70000000000000007" right="0.70000000000000007" top="1.1437007874015745" bottom="1.1437007874015745" header="0.74999999999999989" footer="0.74999999999999989"/>
  <pageSetup fitToWidth="0" fitToHeight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6896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25</vt:i4>
      </vt:variant>
    </vt:vector>
  </HeadingPairs>
  <TitlesOfParts>
    <vt:vector size="25" baseType="lpstr">
      <vt:lpstr>Sparande</vt:lpstr>
      <vt:lpstr>25e November</vt:lpstr>
      <vt:lpstr>25e December</vt:lpstr>
      <vt:lpstr>25e Januari</vt:lpstr>
      <vt:lpstr>25e Februari</vt:lpstr>
      <vt:lpstr>25e Mars</vt:lpstr>
      <vt:lpstr>25e April</vt:lpstr>
      <vt:lpstr>25e Maj</vt:lpstr>
      <vt:lpstr>25e Juni</vt:lpstr>
      <vt:lpstr>25e Juli</vt:lpstr>
      <vt:lpstr>25e Augusti</vt:lpstr>
      <vt:lpstr>25e September</vt:lpstr>
      <vt:lpstr>25e Oktober</vt:lpstr>
      <vt:lpstr>25e November 2021</vt:lpstr>
      <vt:lpstr>25e December 2021</vt:lpstr>
      <vt:lpstr>25e Januari 2022</vt:lpstr>
      <vt:lpstr>25e Februari 2022</vt:lpstr>
      <vt:lpstr>25e Mars 2022</vt:lpstr>
      <vt:lpstr>25e April 2022</vt:lpstr>
      <vt:lpstr>25e Maj 2022</vt:lpstr>
      <vt:lpstr>25e Juni 2022</vt:lpstr>
      <vt:lpstr>25e Juli 2022</vt:lpstr>
      <vt:lpstr>Grafik-data</vt:lpstr>
      <vt:lpstr>Grafik</vt:lpstr>
      <vt:lpstr>Testmånad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Svärd</dc:creator>
  <cp:lastModifiedBy>Peter Svärd</cp:lastModifiedBy>
  <cp:revision>24</cp:revision>
  <dcterms:created xsi:type="dcterms:W3CDTF">2021-03-12T17:03:52Z</dcterms:created>
  <dcterms:modified xsi:type="dcterms:W3CDTF">2022-07-22T15:00:12Z</dcterms:modified>
</cp:coreProperties>
</file>