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zampardo/Documents/Real Estate/1) Inkwell Partners/2) Projects/PIPELINE/1451 Bagley (Hello Records)/8) Models/"/>
    </mc:Choice>
  </mc:AlternateContent>
  <xr:revisionPtr revIDLastSave="0" documentId="13_ncr:1_{E8185D76-E8EA-6345-9A78-FAEA235A81E8}" xr6:coauthVersionLast="47" xr6:coauthVersionMax="47" xr10:uidLastSave="{00000000-0000-0000-0000-000000000000}"/>
  <bookViews>
    <workbookView xWindow="36740" yWindow="1040" windowWidth="28800" windowHeight="16020" tabRatio="731" xr2:uid="{00000000-000D-0000-FFFF-FFFF00000000}"/>
  </bookViews>
  <sheets>
    <sheet name="Cash Flow" sheetId="4" r:id="rId1"/>
    <sheet name="Sample Investment" sheetId="5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1" i="5" l="1"/>
  <c r="K31" i="5"/>
  <c r="J31" i="5"/>
  <c r="I31" i="5"/>
  <c r="H31" i="5"/>
  <c r="G31" i="5"/>
  <c r="F31" i="5"/>
  <c r="E31" i="5"/>
  <c r="D31" i="5"/>
  <c r="C31" i="5"/>
  <c r="L30" i="5"/>
  <c r="K30" i="5"/>
  <c r="J30" i="5"/>
  <c r="I30" i="5"/>
  <c r="H30" i="5"/>
  <c r="G30" i="5"/>
  <c r="F30" i="5"/>
  <c r="E30" i="5"/>
  <c r="D30" i="5"/>
  <c r="C30" i="5"/>
  <c r="L29" i="5"/>
  <c r="K29" i="5"/>
  <c r="J29" i="5"/>
  <c r="I29" i="5"/>
  <c r="H29" i="5"/>
  <c r="G29" i="5"/>
  <c r="F29" i="5"/>
  <c r="E29" i="5"/>
  <c r="D29" i="5"/>
  <c r="D34" i="5" s="1"/>
  <c r="C29" i="5"/>
  <c r="L28" i="5"/>
  <c r="K28" i="5"/>
  <c r="J28" i="5"/>
  <c r="I28" i="5"/>
  <c r="H28" i="5"/>
  <c r="G28" i="5"/>
  <c r="F28" i="5"/>
  <c r="E28" i="5"/>
  <c r="D28" i="5"/>
  <c r="C28" i="5"/>
  <c r="C34" i="5" s="1"/>
  <c r="H34" i="5"/>
  <c r="K34" i="5"/>
  <c r="G34" i="5"/>
  <c r="C32" i="5" l="1"/>
  <c r="D32" i="5" s="1"/>
  <c r="E32" i="5" s="1"/>
  <c r="F32" i="5" s="1"/>
  <c r="G32" i="5" s="1"/>
  <c r="H32" i="5" s="1"/>
  <c r="I32" i="5" s="1"/>
  <c r="J32" i="5" s="1"/>
  <c r="K32" i="5" s="1"/>
  <c r="E34" i="5"/>
  <c r="I34" i="5"/>
  <c r="F34" i="5"/>
  <c r="J34" i="5"/>
  <c r="G35" i="5" l="1"/>
  <c r="E35" i="5"/>
  <c r="F35" i="5"/>
  <c r="L34" i="5"/>
  <c r="C36" i="5" s="1"/>
  <c r="D35" i="5"/>
  <c r="L35" i="5"/>
  <c r="K35" i="5"/>
  <c r="I35" i="5"/>
  <c r="J35" i="5"/>
  <c r="H35" i="5"/>
  <c r="L32" i="5" l="1"/>
  <c r="C37" i="5"/>
  <c r="N9" i="5" l="1"/>
  <c r="L9" i="5"/>
  <c r="K9" i="5"/>
  <c r="J9" i="5"/>
  <c r="I9" i="5"/>
  <c r="H9" i="5"/>
  <c r="G9" i="5"/>
  <c r="F9" i="5"/>
  <c r="D9" i="5"/>
  <c r="C9" i="5"/>
  <c r="E9" i="5"/>
  <c r="L8" i="5"/>
  <c r="K8" i="5"/>
  <c r="J8" i="5"/>
  <c r="I8" i="5"/>
  <c r="I13" i="5" s="1"/>
  <c r="H8" i="5"/>
  <c r="H13" i="5" s="1"/>
  <c r="G8" i="5"/>
  <c r="F8" i="5"/>
  <c r="E8" i="5"/>
  <c r="E13" i="5" s="1"/>
  <c r="C8" i="5"/>
  <c r="D8" i="5"/>
  <c r="D13" i="5" s="1"/>
  <c r="C7" i="5"/>
  <c r="C13" i="5" s="1"/>
  <c r="O3" i="4"/>
  <c r="O15" i="4"/>
  <c r="Q25" i="4"/>
  <c r="R25" i="4" s="1"/>
  <c r="Q24" i="4"/>
  <c r="R24" i="4" s="1"/>
  <c r="Q23" i="4"/>
  <c r="R23" i="4" s="1"/>
  <c r="Q22" i="4"/>
  <c r="R22" i="4" s="1"/>
  <c r="Q21" i="4"/>
  <c r="R21" i="4" s="1"/>
  <c r="Q20" i="4"/>
  <c r="R20" i="4" s="1"/>
  <c r="Q11" i="4"/>
  <c r="P11" i="4" s="1"/>
  <c r="Q10" i="4"/>
  <c r="P10" i="4" s="1"/>
  <c r="Q9" i="4"/>
  <c r="P9" i="4" s="1"/>
  <c r="Q8" i="4"/>
  <c r="P8" i="4" s="1"/>
  <c r="O41" i="4"/>
  <c r="O38" i="4"/>
  <c r="O43" i="4"/>
  <c r="O42" i="4"/>
  <c r="O37" i="4"/>
  <c r="C11" i="5" l="1"/>
  <c r="D7" i="5" s="1"/>
  <c r="D14" i="5" s="1"/>
  <c r="F13" i="5"/>
  <c r="J13" i="5"/>
  <c r="G13" i="5"/>
  <c r="K13" i="5"/>
  <c r="U26" i="4"/>
  <c r="S26" i="4"/>
  <c r="O26" i="4"/>
  <c r="O12" i="4"/>
  <c r="D20" i="4"/>
  <c r="E20" i="4" s="1"/>
  <c r="F20" i="4" s="1"/>
  <c r="D19" i="4"/>
  <c r="D18" i="4"/>
  <c r="D17" i="4"/>
  <c r="T25" i="4"/>
  <c r="T24" i="4"/>
  <c r="T23" i="4"/>
  <c r="T22" i="4"/>
  <c r="T21" i="4"/>
  <c r="D11" i="5" l="1"/>
  <c r="E7" i="5" s="1"/>
  <c r="E11" i="5" s="1"/>
  <c r="P46" i="4"/>
  <c r="F7" i="5" l="1"/>
  <c r="E14" i="5"/>
  <c r="F11" i="5"/>
  <c r="C14" i="4"/>
  <c r="E33" i="4"/>
  <c r="F33" i="4" s="1"/>
  <c r="G33" i="4" s="1"/>
  <c r="H33" i="4" s="1"/>
  <c r="I33" i="4" s="1"/>
  <c r="J33" i="4" s="1"/>
  <c r="K33" i="4" s="1"/>
  <c r="L33" i="4" s="1"/>
  <c r="G7" i="5" l="1"/>
  <c r="F14" i="5"/>
  <c r="G11" i="5"/>
  <c r="C55" i="4"/>
  <c r="D55" i="4" s="1"/>
  <c r="R12" i="4"/>
  <c r="Q12" i="4"/>
  <c r="P12" i="4" s="1"/>
  <c r="C39" i="4"/>
  <c r="O54" i="4"/>
  <c r="H7" i="5" l="1"/>
  <c r="G14" i="5"/>
  <c r="H11" i="5"/>
  <c r="J45" i="4"/>
  <c r="F45" i="4"/>
  <c r="I44" i="4"/>
  <c r="E45" i="4"/>
  <c r="H44" i="4"/>
  <c r="G45" i="4"/>
  <c r="E41" i="4"/>
  <c r="I45" i="4"/>
  <c r="L44" i="4"/>
  <c r="E44" i="4"/>
  <c r="H45" i="4"/>
  <c r="K44" i="4"/>
  <c r="G44" i="4"/>
  <c r="K45" i="4"/>
  <c r="F44" i="4"/>
  <c r="L45" i="4"/>
  <c r="J44" i="4"/>
  <c r="I7" i="5" l="1"/>
  <c r="H14" i="5"/>
  <c r="I11" i="5"/>
  <c r="L47" i="4"/>
  <c r="E42" i="4"/>
  <c r="E55" i="4" s="1"/>
  <c r="F55" i="4" s="1"/>
  <c r="G55" i="4" s="1"/>
  <c r="H55" i="4" s="1"/>
  <c r="I55" i="4" s="1"/>
  <c r="J55" i="4" s="1"/>
  <c r="K55" i="4" s="1"/>
  <c r="L55" i="4" s="1"/>
  <c r="J7" i="5" l="1"/>
  <c r="I14" i="5"/>
  <c r="K7" i="5"/>
  <c r="J11" i="5"/>
  <c r="J14" i="5" s="1"/>
  <c r="G20" i="4"/>
  <c r="H20" i="4" s="1"/>
  <c r="I20" i="4" s="1"/>
  <c r="J20" i="4" s="1"/>
  <c r="K20" i="4" s="1"/>
  <c r="L20" i="4" s="1"/>
  <c r="E19" i="4"/>
  <c r="F19" i="4" s="1"/>
  <c r="E18" i="4"/>
  <c r="F18" i="4" s="1"/>
  <c r="K11" i="5" l="1"/>
  <c r="G19" i="4"/>
  <c r="H19" i="4" s="1"/>
  <c r="I19" i="4" s="1"/>
  <c r="J19" i="4" s="1"/>
  <c r="K19" i="4" s="1"/>
  <c r="L19" i="4" s="1"/>
  <c r="G18" i="4"/>
  <c r="H18" i="4" s="1"/>
  <c r="I18" i="4" s="1"/>
  <c r="J18" i="4" s="1"/>
  <c r="K18" i="4" s="1"/>
  <c r="L18" i="4" s="1"/>
  <c r="E17" i="4"/>
  <c r="E32" i="4"/>
  <c r="L7" i="5" l="1"/>
  <c r="L14" i="5" s="1"/>
  <c r="K14" i="5"/>
  <c r="L10" i="5"/>
  <c r="F32" i="4"/>
  <c r="F17" i="4"/>
  <c r="L11" i="5" l="1"/>
  <c r="L13" i="5"/>
  <c r="G32" i="4"/>
  <c r="G17" i="4"/>
  <c r="C16" i="5" l="1"/>
  <c r="C15" i="5"/>
  <c r="H32" i="4"/>
  <c r="H17" i="4"/>
  <c r="C49" i="4"/>
  <c r="C63" i="4" s="1"/>
  <c r="C65" i="4" s="1"/>
  <c r="I32" i="4" l="1"/>
  <c r="I17" i="4"/>
  <c r="J32" i="4" l="1"/>
  <c r="J17" i="4"/>
  <c r="K32" i="4" l="1"/>
  <c r="K17" i="4"/>
  <c r="L32" i="4" l="1"/>
  <c r="L17" i="4"/>
  <c r="R26" i="4" l="1"/>
  <c r="Q26" i="4" s="1"/>
  <c r="T20" i="4" l="1"/>
  <c r="D22" i="4"/>
  <c r="P26" i="4"/>
  <c r="T26" i="4"/>
  <c r="D24" i="4" l="1"/>
  <c r="D26" i="4" s="1"/>
  <c r="D34" i="4" s="1"/>
  <c r="E22" i="4"/>
  <c r="O36" i="4" l="1"/>
  <c r="O35" i="4"/>
  <c r="E24" i="4"/>
  <c r="E26" i="4" s="1"/>
  <c r="E34" i="4" s="1"/>
  <c r="F22" i="4"/>
  <c r="O46" i="4" l="1"/>
  <c r="O44" i="4"/>
  <c r="P44" i="4" s="1"/>
  <c r="G22" i="4"/>
  <c r="F24" i="4"/>
  <c r="F26" i="4" s="1"/>
  <c r="F34" i="4" s="1"/>
  <c r="H22" i="4" l="1"/>
  <c r="G24" i="4"/>
  <c r="G26" i="4" s="1"/>
  <c r="G34" i="4" s="1"/>
  <c r="D28" i="4"/>
  <c r="S8" i="4"/>
  <c r="S10" i="4"/>
  <c r="T10" i="4" s="1"/>
  <c r="U10" i="4" s="1"/>
  <c r="S9" i="4"/>
  <c r="T9" i="4" s="1"/>
  <c r="U9" i="4" s="1"/>
  <c r="S11" i="4"/>
  <c r="T11" i="4" s="1"/>
  <c r="U11" i="4" s="1"/>
  <c r="S12" i="4" l="1"/>
  <c r="T8" i="4"/>
  <c r="H24" i="4"/>
  <c r="H26" i="4" s="1"/>
  <c r="H34" i="4" s="1"/>
  <c r="I22" i="4"/>
  <c r="E28" i="4"/>
  <c r="D30" i="4"/>
  <c r="T12" i="4" l="1"/>
  <c r="T14" i="4" s="1"/>
  <c r="U8" i="4"/>
  <c r="U12" i="4" s="1"/>
  <c r="S13" i="4"/>
  <c r="S15" i="4"/>
  <c r="D53" i="4"/>
  <c r="D52" i="4"/>
  <c r="D39" i="4"/>
  <c r="F28" i="4"/>
  <c r="E30" i="4"/>
  <c r="I24" i="4"/>
  <c r="I26" i="4" s="1"/>
  <c r="I34" i="4" s="1"/>
  <c r="J22" i="4"/>
  <c r="D49" i="4" l="1"/>
  <c r="D56" i="4" s="1"/>
  <c r="D63" i="4"/>
  <c r="D64" i="4"/>
  <c r="J24" i="4"/>
  <c r="J26" i="4" s="1"/>
  <c r="J34" i="4" s="1"/>
  <c r="K22" i="4"/>
  <c r="E39" i="4"/>
  <c r="E53" i="4"/>
  <c r="E52" i="4"/>
  <c r="G28" i="4"/>
  <c r="F30" i="4"/>
  <c r="D57" i="4" l="1"/>
  <c r="E49" i="4"/>
  <c r="E57" i="4" s="1"/>
  <c r="E64" i="4"/>
  <c r="E63" i="4"/>
  <c r="D65" i="4"/>
  <c r="F52" i="4"/>
  <c r="F39" i="4"/>
  <c r="F53" i="4"/>
  <c r="L22" i="4"/>
  <c r="K24" i="4"/>
  <c r="K26" i="4" s="1"/>
  <c r="K34" i="4" s="1"/>
  <c r="H28" i="4"/>
  <c r="G30" i="4"/>
  <c r="E56" i="4" l="1"/>
  <c r="E65" i="4"/>
  <c r="F49" i="4"/>
  <c r="F57" i="4" s="1"/>
  <c r="F64" i="4"/>
  <c r="F63" i="4"/>
  <c r="G52" i="4"/>
  <c r="G39" i="4"/>
  <c r="G53" i="4"/>
  <c r="I28" i="4"/>
  <c r="H30" i="4"/>
  <c r="L24" i="4"/>
  <c r="L26" i="4" s="1"/>
  <c r="L34" i="4" s="1"/>
  <c r="F56" i="4" l="1"/>
  <c r="F65" i="4"/>
  <c r="G49" i="4"/>
  <c r="G57" i="4" s="1"/>
  <c r="G64" i="4"/>
  <c r="G63" i="4"/>
  <c r="H39" i="4"/>
  <c r="H52" i="4"/>
  <c r="H53" i="4"/>
  <c r="J28" i="4"/>
  <c r="I30" i="4"/>
  <c r="G56" i="4" l="1"/>
  <c r="G65" i="4"/>
  <c r="H49" i="4"/>
  <c r="H57" i="4" s="1"/>
  <c r="H64" i="4"/>
  <c r="H63" i="4"/>
  <c r="K28" i="4"/>
  <c r="J30" i="4"/>
  <c r="I39" i="4"/>
  <c r="I53" i="4"/>
  <c r="I52" i="4"/>
  <c r="H56" i="4" l="1"/>
  <c r="H65" i="4"/>
  <c r="I49" i="4"/>
  <c r="I56" i="4" s="1"/>
  <c r="I64" i="4"/>
  <c r="I63" i="4"/>
  <c r="J52" i="4"/>
  <c r="J39" i="4"/>
  <c r="J53" i="4"/>
  <c r="L28" i="4"/>
  <c r="L30" i="4" s="1"/>
  <c r="K30" i="4"/>
  <c r="I65" i="4" l="1"/>
  <c r="I57" i="4"/>
  <c r="J49" i="4"/>
  <c r="J57" i="4" s="1"/>
  <c r="J64" i="4"/>
  <c r="J63" i="4"/>
  <c r="K52" i="4"/>
  <c r="K39" i="4"/>
  <c r="K53" i="4"/>
  <c r="L53" i="4"/>
  <c r="L52" i="4"/>
  <c r="O65" i="4"/>
  <c r="J56" i="4" l="1"/>
  <c r="K49" i="4"/>
  <c r="K57" i="4" s="1"/>
  <c r="K64" i="4"/>
  <c r="K63" i="4"/>
  <c r="J65" i="4"/>
  <c r="L36" i="4"/>
  <c r="O66" i="4"/>
  <c r="K56" i="4" l="1"/>
  <c r="K65" i="4"/>
  <c r="L37" i="4"/>
  <c r="L39" i="4" s="1"/>
  <c r="L49" i="4" s="1"/>
  <c r="L64" i="4" l="1"/>
  <c r="L63" i="4"/>
  <c r="L56" i="4"/>
  <c r="L57" i="4"/>
  <c r="C51" i="4"/>
  <c r="L65" i="4" l="1"/>
  <c r="C6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Zampardo</author>
  </authors>
  <commentList>
    <comment ref="O3" authorId="0" shapeId="0" xr:uid="{168CA9FE-B0F4-E645-8C00-A6BDFB9AC0AE}">
      <text>
        <r>
          <rPr>
            <b/>
            <sz val="10"/>
            <color rgb="FF000000"/>
            <rFont val="Tahoma"/>
            <family val="2"/>
          </rPr>
          <t>Ryan Zampardo: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Allan's 9/7/21 plans (Gross Area Schedule on pg. 2, less basement space)</t>
        </r>
      </text>
    </comment>
    <comment ref="C10" authorId="0" shapeId="0" xr:uid="{0DCB30B9-321D-1345-A341-97C183DA2638}">
      <text>
        <r>
          <rPr>
            <b/>
            <sz val="10"/>
            <color rgb="FF000000"/>
            <rFont val="Tahoma"/>
            <family val="2"/>
          </rPr>
          <t>Ryan Zampardo: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10% contingency is included in here</t>
        </r>
      </text>
    </comment>
    <comment ref="D24" authorId="0" shapeId="0" xr:uid="{220401B0-647A-0246-B8E3-7FE29EBF497F}">
      <text>
        <r>
          <rPr>
            <b/>
            <sz val="10"/>
            <color rgb="FF000000"/>
            <rFont val="Tahoma"/>
            <family val="2"/>
          </rPr>
          <t>Ryan Zampardo: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Assumes 50% vacancy for initial year</t>
        </r>
      </text>
    </comment>
  </commentList>
</comments>
</file>

<file path=xl/sharedStrings.xml><?xml version="1.0" encoding="utf-8"?>
<sst xmlns="http://schemas.openxmlformats.org/spreadsheetml/2006/main" count="139" uniqueCount="114">
  <si>
    <t>Interest Rate</t>
  </si>
  <si>
    <t>Equity Cash Flow</t>
  </si>
  <si>
    <t>Amortization</t>
  </si>
  <si>
    <t>Interest Payments</t>
  </si>
  <si>
    <t>Principal Payments</t>
  </si>
  <si>
    <t>Cost of Sale</t>
  </si>
  <si>
    <t>IRR</t>
  </si>
  <si>
    <t>Capital Reserves</t>
  </si>
  <si>
    <t>NOI</t>
  </si>
  <si>
    <t>Terminal Value</t>
  </si>
  <si>
    <t xml:space="preserve">ROE </t>
  </si>
  <si>
    <t>ROE w/ Amortization</t>
  </si>
  <si>
    <t>DSCR</t>
  </si>
  <si>
    <t>$/SF</t>
  </si>
  <si>
    <t>Loan Amount</t>
  </si>
  <si>
    <t>ROC</t>
  </si>
  <si>
    <t>Equity Basis</t>
  </si>
  <si>
    <t>Cash Flow Before Financing</t>
  </si>
  <si>
    <t>Closing Costs</t>
  </si>
  <si>
    <t>1451 Bagley - Equity Cash Flow</t>
  </si>
  <si>
    <t>Area (SF)</t>
  </si>
  <si>
    <t>Retail</t>
  </si>
  <si>
    <t>Rent ($/SF)</t>
  </si>
  <si>
    <t>Rent Bumps</t>
  </si>
  <si>
    <t>every 3 years</t>
  </si>
  <si>
    <t>Gross Revenue</t>
  </si>
  <si>
    <t>OpEx</t>
  </si>
  <si>
    <t>Acquisition Price</t>
  </si>
  <si>
    <t>DD &amp; Closing Costs</t>
  </si>
  <si>
    <t>Acquisition Fee</t>
  </si>
  <si>
    <t>Architecture &amp; Engineering</t>
  </si>
  <si>
    <t>Development Fee</t>
  </si>
  <si>
    <t>Development Costs</t>
  </si>
  <si>
    <t>Exit Assumptions</t>
  </si>
  <si>
    <t>Exit Cap</t>
  </si>
  <si>
    <t>Price</t>
  </si>
  <si>
    <t>Debt Assumptions</t>
  </si>
  <si>
    <t>LTC</t>
  </si>
  <si>
    <t>Term</t>
  </si>
  <si>
    <t>Financing Fee</t>
  </si>
  <si>
    <t>Loan Proceeds</t>
  </si>
  <si>
    <t>Financing Costs</t>
  </si>
  <si>
    <t>Loan Repayment</t>
  </si>
  <si>
    <t>Unit 1</t>
  </si>
  <si>
    <t>Unit 2</t>
  </si>
  <si>
    <t>Unit 3</t>
  </si>
  <si>
    <t>Unit 4</t>
  </si>
  <si>
    <t>Rent ($/yr)</t>
  </si>
  <si>
    <t>Rent ($/mo)</t>
  </si>
  <si>
    <t>Office</t>
  </si>
  <si>
    <t>XXL</t>
  </si>
  <si>
    <t>Count</t>
  </si>
  <si>
    <t>XL</t>
  </si>
  <si>
    <t>L</t>
  </si>
  <si>
    <t>M</t>
  </si>
  <si>
    <t>XS</t>
  </si>
  <si>
    <t>S</t>
  </si>
  <si>
    <t>Occupants</t>
  </si>
  <si>
    <t>$/Occupant</t>
  </si>
  <si>
    <t>Revenue Growth</t>
  </si>
  <si>
    <t>annual</t>
  </si>
  <si>
    <t>Vacancy</t>
  </si>
  <si>
    <t>Taxes</t>
  </si>
  <si>
    <t>Insurance</t>
  </si>
  <si>
    <t>Management</t>
  </si>
  <si>
    <t>Trash</t>
  </si>
  <si>
    <t>Cleaning</t>
  </si>
  <si>
    <t>Turns</t>
  </si>
  <si>
    <t>Maintenance</t>
  </si>
  <si>
    <t>Cable</t>
  </si>
  <si>
    <t>Water</t>
  </si>
  <si>
    <t>Gas &amp; Electric</t>
  </si>
  <si>
    <t>Leasing &amp; Marketing</t>
  </si>
  <si>
    <t>5% of revenue</t>
  </si>
  <si>
    <t>office only</t>
  </si>
  <si>
    <t>Accounting</t>
  </si>
  <si>
    <t>$300/month</t>
  </si>
  <si>
    <t>of Revenue</t>
  </si>
  <si>
    <t>CAM ($/yr)</t>
  </si>
  <si>
    <t>CAM ($/mo)</t>
  </si>
  <si>
    <t>OpEx Growth</t>
  </si>
  <si>
    <t>GSF</t>
  </si>
  <si>
    <t>$260/month for once per week</t>
  </si>
  <si>
    <t>$665/month shared with other side of street</t>
  </si>
  <si>
    <t>$300/month; try to submeter for the retail spaces</t>
  </si>
  <si>
    <t>retail space as % of total rentable</t>
  </si>
  <si>
    <t>CAM Allocation</t>
  </si>
  <si>
    <t>$7/thousand of insured value (total cost + 1 year revenue);  $19k for $2m of coverage across the street</t>
  </si>
  <si>
    <t>OpEx (less retail reimbursement)</t>
  </si>
  <si>
    <t>$125/month; $357/mo across the street for 2x/week</t>
  </si>
  <si>
    <t>Construction Budget</t>
  </si>
  <si>
    <t>Carry Costs (T&amp;I, utilities)</t>
  </si>
  <si>
    <t>LP Cash Flow</t>
  </si>
  <si>
    <t>Equity Promote</t>
  </si>
  <si>
    <t>LP Split</t>
  </si>
  <si>
    <t>LP IRR</t>
  </si>
  <si>
    <t>GP Cash Flow</t>
  </si>
  <si>
    <t>Taxes are $6k today</t>
  </si>
  <si>
    <t>Asset Management</t>
  </si>
  <si>
    <t>of revenue</t>
  </si>
  <si>
    <t>All-In ($/mo)</t>
  </si>
  <si>
    <t>of base rent (for CAM)</t>
  </si>
  <si>
    <t>General</t>
  </si>
  <si>
    <t>FF&amp;E and Other Soft Costs</t>
  </si>
  <si>
    <t>Projected Returns on a $100,000 Investment</t>
  </si>
  <si>
    <t>Investment Basis</t>
  </si>
  <si>
    <t>Distributions from Operations</t>
  </si>
  <si>
    <t>Proceeds from Refi</t>
  </si>
  <si>
    <t>Proceeds from Sale</t>
  </si>
  <si>
    <t>Ending Investment Basis</t>
  </si>
  <si>
    <t>Cash Flow</t>
  </si>
  <si>
    <t>Cash on Cash Return (Operations)</t>
  </si>
  <si>
    <t>Equity Multiple</t>
  </si>
  <si>
    <t>Projected Returns on Full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</si>
</sst>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Year&quot;\ #"/>
    <numFmt numFmtId="166" formatCode="_(* #,##0_);_(* \(#,##0\);_(* &quot;-&quot;??_);_(@_)"/>
    <numFmt numFmtId="167" formatCode="0.0%"/>
    <numFmt numFmtId="168" formatCode="_-&quot;$&quot;* #,##0.00_-;\-&quot;$&quot;* #,##0.00_-;_-&quot;$&quot;* &quot;-&quot;??_-;_-@_-"/>
    <numFmt numFmtId="169" formatCode="_(* #,##0_);_(* \(#,##0\);_(* &quot;-&quot;?_);_(@_)"/>
    <numFmt numFmtId="170" formatCode="_(* #,##0.0000_);_(* \(#,##0.0000\);_(* &quot;-&quot;??_);_(@_)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u/>
      <sz val="10"/>
      <color theme="1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20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9" fillId="0" borderId="0"/>
    <xf numFmtId="0" fontId="7" fillId="0" borderId="0"/>
    <xf numFmtId="9" fontId="7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/>
    <xf numFmtId="6" fontId="2" fillId="2" borderId="0" xfId="0" applyNumberFormat="1" applyFont="1" applyFill="1"/>
    <xf numFmtId="164" fontId="2" fillId="2" borderId="0" xfId="0" applyNumberFormat="1" applyFont="1" applyFill="1"/>
    <xf numFmtId="9" fontId="4" fillId="2" borderId="0" xfId="0" applyNumberFormat="1" applyFont="1" applyFill="1"/>
    <xf numFmtId="0" fontId="4" fillId="2" borderId="0" xfId="0" applyFont="1" applyFill="1"/>
    <xf numFmtId="14" fontId="4" fillId="2" borderId="0" xfId="0" applyNumberFormat="1" applyFont="1" applyFill="1" applyAlignment="1">
      <alignment horizontal="right"/>
    </xf>
    <xf numFmtId="165" fontId="8" fillId="2" borderId="0" xfId="0" applyNumberFormat="1" applyFont="1" applyFill="1" applyAlignment="1">
      <alignment horizontal="center"/>
    </xf>
    <xf numFmtId="166" fontId="7" fillId="2" borderId="0" xfId="1" applyNumberFormat="1" applyFont="1" applyFill="1" applyAlignment="1">
      <alignment horizontal="right"/>
    </xf>
    <xf numFmtId="167" fontId="2" fillId="2" borderId="0" xfId="2" applyNumberFormat="1" applyFont="1" applyFill="1"/>
    <xf numFmtId="43" fontId="2" fillId="2" borderId="0" xfId="0" applyNumberFormat="1" applyFont="1" applyFill="1"/>
    <xf numFmtId="166" fontId="7" fillId="2" borderId="0" xfId="1" applyNumberFormat="1" applyFont="1" applyFill="1" applyBorder="1" applyAlignment="1">
      <alignment horizontal="right"/>
    </xf>
    <xf numFmtId="166" fontId="8" fillId="2" borderId="2" xfId="0" applyNumberFormat="1" applyFont="1" applyFill="1" applyBorder="1"/>
    <xf numFmtId="167" fontId="2" fillId="2" borderId="0" xfId="0" applyNumberFormat="1" applyFont="1" applyFill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166" fontId="2" fillId="2" borderId="0" xfId="0" applyNumberFormat="1" applyFont="1" applyFill="1"/>
    <xf numFmtId="0" fontId="2" fillId="2" borderId="0" xfId="0" applyFont="1" applyFill="1" applyBorder="1"/>
    <xf numFmtId="166" fontId="4" fillId="2" borderId="0" xfId="1" applyNumberFormat="1" applyFont="1" applyFill="1" applyAlignment="1">
      <alignment horizontal="right"/>
    </xf>
    <xf numFmtId="0" fontId="3" fillId="2" borderId="0" xfId="0" applyFont="1" applyFill="1" applyBorder="1"/>
    <xf numFmtId="0" fontId="11" fillId="2" borderId="0" xfId="0" applyFont="1" applyFill="1"/>
    <xf numFmtId="0" fontId="2" fillId="2" borderId="0" xfId="0" applyFont="1" applyFill="1" applyAlignment="1">
      <alignment horizontal="center"/>
    </xf>
    <xf numFmtId="166" fontId="8" fillId="2" borderId="2" xfId="1" applyNumberFormat="1" applyFont="1" applyFill="1" applyBorder="1" applyAlignment="1">
      <alignment horizontal="right"/>
    </xf>
    <xf numFmtId="3" fontId="4" fillId="2" borderId="0" xfId="0" applyNumberFormat="1" applyFont="1" applyFill="1"/>
    <xf numFmtId="0" fontId="10" fillId="3" borderId="0" xfId="0" applyFont="1" applyFill="1" applyAlignment="1"/>
    <xf numFmtId="0" fontId="2" fillId="2" borderId="2" xfId="0" applyFont="1" applyFill="1" applyBorder="1"/>
    <xf numFmtId="3" fontId="2" fillId="2" borderId="2" xfId="0" applyNumberFormat="1" applyFont="1" applyFill="1" applyBorder="1"/>
    <xf numFmtId="166" fontId="7" fillId="4" borderId="0" xfId="1" applyNumberFormat="1" applyFont="1" applyFill="1" applyBorder="1" applyAlignment="1">
      <alignment horizontal="right"/>
    </xf>
    <xf numFmtId="166" fontId="7" fillId="2" borderId="2" xfId="1" applyNumberFormat="1" applyFont="1" applyFill="1" applyBorder="1" applyAlignment="1">
      <alignment horizontal="right"/>
    </xf>
    <xf numFmtId="0" fontId="3" fillId="2" borderId="2" xfId="0" applyFont="1" applyFill="1" applyBorder="1"/>
    <xf numFmtId="166" fontId="2" fillId="2" borderId="0" xfId="1" applyNumberFormat="1" applyFont="1" applyFill="1" applyAlignment="1">
      <alignment horizontal="right"/>
    </xf>
    <xf numFmtId="167" fontId="4" fillId="2" borderId="0" xfId="0" applyNumberFormat="1" applyFont="1" applyFill="1"/>
    <xf numFmtId="166" fontId="3" fillId="2" borderId="2" xfId="0" applyNumberFormat="1" applyFont="1" applyFill="1" applyBorder="1"/>
    <xf numFmtId="0" fontId="2" fillId="2" borderId="0" xfId="0" applyFont="1" applyFill="1" applyBorder="1" applyAlignment="1">
      <alignment horizontal="left"/>
    </xf>
    <xf numFmtId="169" fontId="2" fillId="2" borderId="0" xfId="0" applyNumberFormat="1" applyFont="1" applyFill="1"/>
    <xf numFmtId="10" fontId="4" fillId="2" borderId="0" xfId="0" applyNumberFormat="1" applyFont="1" applyFill="1"/>
    <xf numFmtId="0" fontId="2" fillId="2" borderId="0" xfId="0" applyFont="1" applyFill="1" applyBorder="1" applyAlignment="1">
      <alignment horizontal="left" indent="1"/>
    </xf>
    <xf numFmtId="166" fontId="2" fillId="2" borderId="2" xfId="0" applyNumberFormat="1" applyFont="1" applyFill="1" applyBorder="1"/>
    <xf numFmtId="3" fontId="2" fillId="2" borderId="0" xfId="0" applyNumberFormat="1" applyFont="1" applyFill="1" applyBorder="1"/>
    <xf numFmtId="1" fontId="2" fillId="2" borderId="2" xfId="0" applyNumberFormat="1" applyFont="1" applyFill="1" applyBorder="1"/>
    <xf numFmtId="9" fontId="4" fillId="2" borderId="2" xfId="0" applyNumberFormat="1" applyFont="1" applyFill="1" applyBorder="1" applyAlignment="1">
      <alignment horizontal="left"/>
    </xf>
    <xf numFmtId="9" fontId="2" fillId="2" borderId="2" xfId="2" applyFont="1" applyFill="1" applyBorder="1"/>
    <xf numFmtId="166" fontId="2" fillId="2" borderId="0" xfId="0" applyNumberFormat="1" applyFont="1" applyFill="1" applyBorder="1"/>
    <xf numFmtId="1" fontId="2" fillId="2" borderId="0" xfId="0" applyNumberFormat="1" applyFont="1" applyFill="1" applyBorder="1"/>
    <xf numFmtId="9" fontId="2" fillId="2" borderId="0" xfId="2" applyFont="1" applyFill="1" applyAlignment="1">
      <alignment horizontal="right"/>
    </xf>
    <xf numFmtId="0" fontId="2" fillId="2" borderId="3" xfId="0" applyFont="1" applyFill="1" applyBorder="1"/>
    <xf numFmtId="170" fontId="2" fillId="2" borderId="0" xfId="0" applyNumberFormat="1" applyFont="1" applyFill="1"/>
    <xf numFmtId="1" fontId="2" fillId="2" borderId="0" xfId="0" applyNumberFormat="1" applyFont="1" applyFill="1"/>
    <xf numFmtId="9" fontId="2" fillId="2" borderId="0" xfId="2" applyFont="1" applyFill="1"/>
    <xf numFmtId="0" fontId="2" fillId="4" borderId="0" xfId="0" applyFont="1" applyFill="1"/>
    <xf numFmtId="166" fontId="7" fillId="4" borderId="0" xfId="1" applyNumberFormat="1" applyFont="1" applyFill="1" applyAlignment="1">
      <alignment horizontal="right"/>
    </xf>
    <xf numFmtId="0" fontId="2" fillId="2" borderId="0" xfId="0" applyFont="1" applyFill="1" applyAlignment="1">
      <alignment horizontal="left" indent="1"/>
    </xf>
  </cellXfs>
  <cellStyles count="2010">
    <cellStyle name="Comma" xfId="1" builtinId="3"/>
    <cellStyle name="Currency 2" xfId="66" xr:uid="{00000000-0005-0000-0000-000001000000}"/>
    <cellStyle name="Currency 3" xfId="65" xr:uid="{00000000-0005-0000-0000-000002000000}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Normal" xfId="0" builtinId="0"/>
    <cellStyle name="Normal 2" xfId="67" xr:uid="{00000000-0005-0000-0000-0000D4070000}"/>
    <cellStyle name="Normal 2 2" xfId="63" xr:uid="{00000000-0005-0000-0000-0000D5070000}"/>
    <cellStyle name="Normal 3" xfId="68" xr:uid="{00000000-0005-0000-0000-0000D6070000}"/>
    <cellStyle name="Percent" xfId="2" builtinId="5"/>
    <cellStyle name="Percent 2" xfId="69" xr:uid="{00000000-0005-0000-0000-0000D8070000}"/>
    <cellStyle name="Percent 2 2" xfId="64" xr:uid="{00000000-0005-0000-0000-0000D9070000}"/>
  </cellStyles>
  <dxfs count="0"/>
  <tableStyles count="0" defaultTableStyle="TableStyleMedium9" defaultPivotStyle="PivotStyleMedium4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B1:X74"/>
  <sheetViews>
    <sheetView tabSelected="1" workbookViewId="0">
      <selection activeCell="C51" sqref="C18:C51"/>
    </sheetView>
  </sheetViews>
  <sheetFormatPr baseColWidth="10" defaultColWidth="10.83203125" defaultRowHeight="13" x14ac:dyDescent="0.15"/>
  <cols>
    <col min="1" max="1" width="2" style="1" customWidth="1"/>
    <col min="2" max="2" width="25.83203125" style="1" customWidth="1"/>
    <col min="3" max="4" width="10.83203125" style="1" customWidth="1"/>
    <col min="5" max="5" width="11.33203125" style="1" bestFit="1" customWidth="1"/>
    <col min="6" max="6" width="10.83203125" style="1" customWidth="1"/>
    <col min="7" max="7" width="11.33203125" style="1" bestFit="1" customWidth="1"/>
    <col min="8" max="11" width="10.83203125" style="1"/>
    <col min="12" max="12" width="10.83203125" style="1" customWidth="1"/>
    <col min="13" max="13" width="10.83203125" style="1"/>
    <col min="14" max="14" width="17.33203125" style="1" customWidth="1"/>
    <col min="15" max="15" width="10.83203125" style="1" customWidth="1"/>
    <col min="16" max="16384" width="10.83203125" style="1"/>
  </cols>
  <sheetData>
    <row r="1" spans="2:21" ht="12" customHeight="1" thickBot="1" x14ac:dyDescent="0.2"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2:21" x14ac:dyDescent="0.15">
      <c r="B2" s="2" t="s">
        <v>19</v>
      </c>
      <c r="C2" s="2"/>
      <c r="N2" s="26" t="s">
        <v>102</v>
      </c>
      <c r="O2" s="26"/>
      <c r="P2" s="26"/>
      <c r="Q2" s="26"/>
      <c r="R2" s="26"/>
      <c r="S2" s="26"/>
      <c r="T2" s="26"/>
      <c r="U2" s="26"/>
    </row>
    <row r="3" spans="2:21" x14ac:dyDescent="0.15">
      <c r="C3" s="23">
        <v>2022</v>
      </c>
      <c r="D3" s="23">
        <v>2023</v>
      </c>
      <c r="E3" s="23">
        <v>2024</v>
      </c>
      <c r="F3" s="23">
        <v>2025</v>
      </c>
      <c r="G3" s="23">
        <v>2026</v>
      </c>
      <c r="H3" s="23">
        <v>2027</v>
      </c>
      <c r="I3" s="23">
        <v>2028</v>
      </c>
      <c r="J3" s="23">
        <v>2029</v>
      </c>
      <c r="K3" s="23">
        <v>2030</v>
      </c>
      <c r="L3" s="23">
        <v>2031</v>
      </c>
      <c r="N3" s="1" t="s">
        <v>81</v>
      </c>
      <c r="O3" s="20">
        <f>6183-709-154</f>
        <v>5320</v>
      </c>
    </row>
    <row r="4" spans="2:21" x14ac:dyDescent="0.15"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O4" s="6"/>
    </row>
    <row r="5" spans="2:21" x14ac:dyDescent="0.15">
      <c r="B5" s="22"/>
      <c r="D5" s="8"/>
      <c r="G5" s="5"/>
      <c r="H5" s="5"/>
      <c r="I5" s="5"/>
      <c r="J5" s="5"/>
      <c r="K5" s="5"/>
    </row>
    <row r="6" spans="2:21" x14ac:dyDescent="0.15">
      <c r="B6" s="17" t="s">
        <v>27</v>
      </c>
      <c r="C6" s="20">
        <v>512050</v>
      </c>
      <c r="N6" s="26" t="s">
        <v>21</v>
      </c>
      <c r="O6" s="26"/>
      <c r="P6" s="26"/>
      <c r="Q6" s="26"/>
      <c r="R6" s="26"/>
      <c r="S6" s="26"/>
      <c r="T6" s="26"/>
      <c r="U6" s="26"/>
    </row>
    <row r="7" spans="2:21" x14ac:dyDescent="0.15">
      <c r="B7" s="17" t="s">
        <v>28</v>
      </c>
      <c r="C7" s="20">
        <v>15000</v>
      </c>
      <c r="O7" s="16" t="s">
        <v>20</v>
      </c>
      <c r="P7" s="16" t="s">
        <v>22</v>
      </c>
      <c r="Q7" s="16" t="s">
        <v>47</v>
      </c>
      <c r="R7" s="16" t="s">
        <v>48</v>
      </c>
      <c r="S7" s="16" t="s">
        <v>78</v>
      </c>
      <c r="T7" s="16" t="s">
        <v>79</v>
      </c>
      <c r="U7" s="16" t="s">
        <v>100</v>
      </c>
    </row>
    <row r="8" spans="2:21" x14ac:dyDescent="0.15">
      <c r="B8" s="17" t="s">
        <v>29</v>
      </c>
      <c r="C8" s="20">
        <v>0</v>
      </c>
      <c r="N8" s="1" t="s">
        <v>43</v>
      </c>
      <c r="O8" s="25">
        <v>517</v>
      </c>
      <c r="P8" s="45">
        <f t="shared" ref="P8:P11" si="0">Q8/O8</f>
        <v>34.81624758220503</v>
      </c>
      <c r="Q8" s="40">
        <f t="shared" ref="Q8:Q11" si="1">R8*12</f>
        <v>18000</v>
      </c>
      <c r="R8" s="7">
        <v>1500</v>
      </c>
      <c r="S8" s="18">
        <f>(O8/$O$12)*$O$46</f>
        <v>6970.3619426751584</v>
      </c>
      <c r="T8" s="18">
        <f>S8/12</f>
        <v>580.86349522292983</v>
      </c>
      <c r="U8" s="18">
        <f>R8+T8</f>
        <v>2080.8634952229299</v>
      </c>
    </row>
    <row r="9" spans="2:21" x14ac:dyDescent="0.15">
      <c r="B9" s="17" t="s">
        <v>30</v>
      </c>
      <c r="C9" s="20">
        <v>50000</v>
      </c>
      <c r="N9" s="1" t="s">
        <v>44</v>
      </c>
      <c r="O9" s="7">
        <v>300</v>
      </c>
      <c r="P9" s="45">
        <f t="shared" si="0"/>
        <v>28</v>
      </c>
      <c r="Q9" s="40">
        <f t="shared" si="1"/>
        <v>8400</v>
      </c>
      <c r="R9" s="7">
        <v>700</v>
      </c>
      <c r="S9" s="18">
        <f>(O9/$O$12)*$O$46</f>
        <v>4044.697452229299</v>
      </c>
      <c r="T9" s="18">
        <f>S9/12</f>
        <v>337.05812101910823</v>
      </c>
      <c r="U9" s="18">
        <f>R9+T9</f>
        <v>1037.0581210191083</v>
      </c>
    </row>
    <row r="10" spans="2:21" x14ac:dyDescent="0.15">
      <c r="B10" s="17" t="s">
        <v>90</v>
      </c>
      <c r="C10" s="20">
        <v>800000</v>
      </c>
      <c r="E10" s="12"/>
      <c r="N10" s="1" t="s">
        <v>45</v>
      </c>
      <c r="O10" s="7">
        <v>357</v>
      </c>
      <c r="P10" s="45">
        <f t="shared" si="0"/>
        <v>26.890756302521009</v>
      </c>
      <c r="Q10" s="40">
        <f t="shared" si="1"/>
        <v>9600</v>
      </c>
      <c r="R10" s="7">
        <v>800</v>
      </c>
      <c r="S10" s="18">
        <f>(O10/$O$12)*$O$46</f>
        <v>4813.1899681528657</v>
      </c>
      <c r="T10" s="18">
        <f>S10/12</f>
        <v>401.09916401273881</v>
      </c>
      <c r="U10" s="18">
        <f>R10+T10</f>
        <v>1201.0991640127388</v>
      </c>
    </row>
    <row r="11" spans="2:21" x14ac:dyDescent="0.15">
      <c r="B11" s="35" t="s">
        <v>31</v>
      </c>
      <c r="C11" s="20">
        <v>0</v>
      </c>
      <c r="E11" s="48"/>
      <c r="N11" s="1" t="s">
        <v>46</v>
      </c>
      <c r="O11" s="7">
        <v>716</v>
      </c>
      <c r="P11" s="45">
        <f t="shared" si="0"/>
        <v>28.491620111731844</v>
      </c>
      <c r="Q11" s="40">
        <f t="shared" si="1"/>
        <v>20400</v>
      </c>
      <c r="R11" s="7">
        <v>1700</v>
      </c>
      <c r="S11" s="18">
        <f>(O11/$O$12)*$O$46</f>
        <v>9653.3445859872609</v>
      </c>
      <c r="T11" s="18">
        <f>S11/12</f>
        <v>804.44538216560511</v>
      </c>
      <c r="U11" s="18">
        <f>R11+T11</f>
        <v>2504.4453821656052</v>
      </c>
    </row>
    <row r="12" spans="2:21" x14ac:dyDescent="0.15">
      <c r="B12" s="1" t="s">
        <v>91</v>
      </c>
      <c r="C12" s="20">
        <v>25000</v>
      </c>
      <c r="N12" s="27"/>
      <c r="O12" s="28">
        <f>SUM(O8:O11)</f>
        <v>1890</v>
      </c>
      <c r="P12" s="41">
        <f>Q12/O12</f>
        <v>29.841269841269842</v>
      </c>
      <c r="Q12" s="28">
        <f>SUM(Q8:Q11)</f>
        <v>56400</v>
      </c>
      <c r="R12" s="28">
        <f>SUM(R8:R11)</f>
        <v>4700</v>
      </c>
      <c r="S12" s="39">
        <f>SUM(S8:S11)</f>
        <v>25481.593949044582</v>
      </c>
      <c r="T12" s="39">
        <f>SUM(T8:T11)</f>
        <v>2123.4661624203818</v>
      </c>
      <c r="U12" s="39">
        <f>SUM(U8:U11)</f>
        <v>6823.4661624203818</v>
      </c>
    </row>
    <row r="13" spans="2:21" x14ac:dyDescent="0.15">
      <c r="B13" s="35" t="s">
        <v>103</v>
      </c>
      <c r="C13" s="20">
        <v>47950</v>
      </c>
      <c r="N13" s="19"/>
      <c r="S13" s="1" t="b">
        <f>S12=O46</f>
        <v>1</v>
      </c>
    </row>
    <row r="14" spans="2:21" x14ac:dyDescent="0.15">
      <c r="B14" s="21" t="s">
        <v>32</v>
      </c>
      <c r="C14" s="34">
        <f>SUM(C6:C13)</f>
        <v>1450000</v>
      </c>
      <c r="D14" s="31"/>
      <c r="E14" s="31"/>
      <c r="F14" s="31"/>
      <c r="G14" s="31"/>
      <c r="H14" s="31"/>
      <c r="I14" s="31"/>
      <c r="J14" s="31"/>
      <c r="K14" s="31"/>
      <c r="L14" s="31"/>
      <c r="N14" s="1" t="s">
        <v>61</v>
      </c>
      <c r="O14" s="6">
        <v>0.1</v>
      </c>
      <c r="T14" s="50">
        <f>T12/R12</f>
        <v>0.45180131115327271</v>
      </c>
      <c r="U14" s="1" t="s">
        <v>101</v>
      </c>
    </row>
    <row r="15" spans="2:21" x14ac:dyDescent="0.15">
      <c r="B15" s="19"/>
      <c r="N15" s="1" t="s">
        <v>23</v>
      </c>
      <c r="O15" s="33">
        <f>(1.03^3)-1</f>
        <v>9.2727000000000004E-2</v>
      </c>
      <c r="P15" s="1" t="s">
        <v>24</v>
      </c>
      <c r="S15" s="12">
        <f>S12*1.02</f>
        <v>25991.225828025475</v>
      </c>
    </row>
    <row r="16" spans="2:21" x14ac:dyDescent="0.15">
      <c r="B16" s="1" t="s">
        <v>21</v>
      </c>
      <c r="O16" s="33"/>
    </row>
    <row r="17" spans="2:21" x14ac:dyDescent="0.15">
      <c r="B17" s="38" t="s">
        <v>43</v>
      </c>
      <c r="D17" s="10">
        <f>O8*P8</f>
        <v>18000</v>
      </c>
      <c r="E17" s="13">
        <f t="shared" ref="E17:F20" si="2">D17</f>
        <v>18000</v>
      </c>
      <c r="F17" s="13">
        <f t="shared" si="2"/>
        <v>18000</v>
      </c>
      <c r="G17" s="29">
        <f>F17*(1+$O$15)</f>
        <v>19669.085999999999</v>
      </c>
      <c r="H17" s="13">
        <f t="shared" ref="H17:I20" si="3">G17</f>
        <v>19669.085999999999</v>
      </c>
      <c r="I17" s="13">
        <f t="shared" si="3"/>
        <v>19669.085999999999</v>
      </c>
      <c r="J17" s="29">
        <f>I17*(1+$O$15)</f>
        <v>21492.941337521999</v>
      </c>
      <c r="K17" s="13">
        <f t="shared" ref="K17:L20" si="4">J17</f>
        <v>21492.941337521999</v>
      </c>
      <c r="L17" s="13">
        <f t="shared" si="4"/>
        <v>21492.941337521999</v>
      </c>
      <c r="M17" s="12"/>
    </row>
    <row r="18" spans="2:21" x14ac:dyDescent="0.15">
      <c r="B18" s="38" t="s">
        <v>44</v>
      </c>
      <c r="D18" s="10">
        <f>O9*P9</f>
        <v>8400</v>
      </c>
      <c r="E18" s="13">
        <f t="shared" si="2"/>
        <v>8400</v>
      </c>
      <c r="F18" s="13">
        <f t="shared" si="2"/>
        <v>8400</v>
      </c>
      <c r="G18" s="29">
        <f>F18*(1+$O$15)</f>
        <v>9178.9068000000007</v>
      </c>
      <c r="H18" s="13">
        <f t="shared" si="3"/>
        <v>9178.9068000000007</v>
      </c>
      <c r="I18" s="13">
        <f t="shared" si="3"/>
        <v>9178.9068000000007</v>
      </c>
      <c r="J18" s="29">
        <f>I18*(1+$O$15)</f>
        <v>10030.039290843601</v>
      </c>
      <c r="K18" s="13">
        <f t="shared" si="4"/>
        <v>10030.039290843601</v>
      </c>
      <c r="L18" s="13">
        <f t="shared" si="4"/>
        <v>10030.039290843601</v>
      </c>
      <c r="N18" s="26" t="s">
        <v>49</v>
      </c>
      <c r="O18" s="26"/>
      <c r="P18" s="26"/>
      <c r="Q18" s="26"/>
      <c r="R18" s="26"/>
      <c r="S18" s="26"/>
      <c r="T18" s="26"/>
      <c r="U18" s="26"/>
    </row>
    <row r="19" spans="2:21" x14ac:dyDescent="0.15">
      <c r="B19" s="38" t="s">
        <v>45</v>
      </c>
      <c r="D19" s="10">
        <f>O10*P10</f>
        <v>9600</v>
      </c>
      <c r="E19" s="13">
        <f t="shared" si="2"/>
        <v>9600</v>
      </c>
      <c r="F19" s="13">
        <f t="shared" si="2"/>
        <v>9600</v>
      </c>
      <c r="G19" s="29">
        <f>F19*(1+$O$15)</f>
        <v>10490.1792</v>
      </c>
      <c r="H19" s="10">
        <f t="shared" si="3"/>
        <v>10490.1792</v>
      </c>
      <c r="I19" s="10">
        <f t="shared" si="3"/>
        <v>10490.1792</v>
      </c>
      <c r="J19" s="29">
        <f>I19*(1+$O$15)</f>
        <v>11462.9020466784</v>
      </c>
      <c r="K19" s="10">
        <f t="shared" si="4"/>
        <v>11462.9020466784</v>
      </c>
      <c r="L19" s="10">
        <f t="shared" si="4"/>
        <v>11462.9020466784</v>
      </c>
      <c r="O19" s="16" t="s">
        <v>20</v>
      </c>
      <c r="P19" s="16" t="s">
        <v>22</v>
      </c>
      <c r="Q19" s="16" t="s">
        <v>47</v>
      </c>
      <c r="R19" s="16" t="s">
        <v>48</v>
      </c>
      <c r="S19" s="16" t="s">
        <v>57</v>
      </c>
      <c r="T19" s="16" t="s">
        <v>58</v>
      </c>
      <c r="U19" s="16" t="s">
        <v>51</v>
      </c>
    </row>
    <row r="20" spans="2:21" x14ac:dyDescent="0.15">
      <c r="B20" s="38" t="s">
        <v>46</v>
      </c>
      <c r="D20" s="10">
        <f>O11*P11</f>
        <v>20400</v>
      </c>
      <c r="E20" s="13">
        <f t="shared" si="2"/>
        <v>20400</v>
      </c>
      <c r="F20" s="13">
        <f t="shared" si="2"/>
        <v>20400</v>
      </c>
      <c r="G20" s="29">
        <f>F20*(1+$O$15)</f>
        <v>22291.630799999999</v>
      </c>
      <c r="H20" s="10">
        <f t="shared" si="3"/>
        <v>22291.630799999999</v>
      </c>
      <c r="I20" s="10">
        <f t="shared" si="3"/>
        <v>22291.630799999999</v>
      </c>
      <c r="J20" s="29">
        <f>I20*(1+$O$15)</f>
        <v>24358.666849191599</v>
      </c>
      <c r="K20" s="10">
        <f t="shared" si="4"/>
        <v>24358.666849191599</v>
      </c>
      <c r="L20" s="10">
        <f t="shared" si="4"/>
        <v>24358.666849191599</v>
      </c>
      <c r="N20" s="1" t="s">
        <v>50</v>
      </c>
      <c r="O20" s="7">
        <v>340</v>
      </c>
      <c r="P20" s="7">
        <v>75</v>
      </c>
      <c r="Q20" s="40">
        <f>O20*P20</f>
        <v>25500</v>
      </c>
      <c r="R20" s="49">
        <f>Q20/12</f>
        <v>2125</v>
      </c>
      <c r="S20" s="7">
        <v>6</v>
      </c>
      <c r="T20" s="40">
        <f>R20/S20</f>
        <v>354.16666666666669</v>
      </c>
      <c r="U20" s="7">
        <v>1</v>
      </c>
    </row>
    <row r="21" spans="2:21" x14ac:dyDescent="0.15">
      <c r="N21" s="1" t="s">
        <v>52</v>
      </c>
      <c r="O21" s="7">
        <v>240</v>
      </c>
      <c r="P21" s="7">
        <v>75</v>
      </c>
      <c r="Q21" s="40">
        <f t="shared" ref="Q21:Q25" si="5">O21*P21</f>
        <v>18000</v>
      </c>
      <c r="R21" s="49">
        <f t="shared" ref="R21:R25" si="6">Q21/12</f>
        <v>1500</v>
      </c>
      <c r="S21" s="7">
        <v>4</v>
      </c>
      <c r="T21" s="40">
        <f t="shared" ref="T21:T25" si="7">R21/S21</f>
        <v>375</v>
      </c>
      <c r="U21" s="7">
        <v>1</v>
      </c>
    </row>
    <row r="22" spans="2:21" x14ac:dyDescent="0.15">
      <c r="B22" s="1" t="s">
        <v>49</v>
      </c>
      <c r="D22" s="10">
        <f>Q26</f>
        <v>117300</v>
      </c>
      <c r="E22" s="10">
        <f t="shared" ref="E22:L22" si="8">D22*(1+$O$29)</f>
        <v>120819</v>
      </c>
      <c r="F22" s="10">
        <f t="shared" si="8"/>
        <v>124443.57</v>
      </c>
      <c r="G22" s="10">
        <f t="shared" si="8"/>
        <v>128176.87710000001</v>
      </c>
      <c r="H22" s="10">
        <f t="shared" si="8"/>
        <v>132022.18341300002</v>
      </c>
      <c r="I22" s="10">
        <f t="shared" si="8"/>
        <v>135982.84891539003</v>
      </c>
      <c r="J22" s="10">
        <f t="shared" si="8"/>
        <v>140062.33438285172</v>
      </c>
      <c r="K22" s="10">
        <f t="shared" si="8"/>
        <v>144264.20441433729</v>
      </c>
      <c r="L22" s="10">
        <f t="shared" si="8"/>
        <v>148592.13054676741</v>
      </c>
      <c r="N22" s="1" t="s">
        <v>53</v>
      </c>
      <c r="O22" s="7">
        <v>160</v>
      </c>
      <c r="P22" s="7">
        <v>75</v>
      </c>
      <c r="Q22" s="40">
        <f t="shared" si="5"/>
        <v>12000</v>
      </c>
      <c r="R22" s="49">
        <f t="shared" si="6"/>
        <v>1000</v>
      </c>
      <c r="S22" s="7">
        <v>3</v>
      </c>
      <c r="T22" s="40">
        <f t="shared" si="7"/>
        <v>333.33333333333331</v>
      </c>
      <c r="U22" s="7">
        <v>1</v>
      </c>
    </row>
    <row r="23" spans="2:21" x14ac:dyDescent="0.15">
      <c r="N23" s="1" t="s">
        <v>54</v>
      </c>
      <c r="O23" s="7">
        <v>136</v>
      </c>
      <c r="P23" s="7">
        <v>75</v>
      </c>
      <c r="Q23" s="40">
        <f t="shared" si="5"/>
        <v>10200</v>
      </c>
      <c r="R23" s="49">
        <f t="shared" si="6"/>
        <v>850</v>
      </c>
      <c r="S23" s="7">
        <v>2</v>
      </c>
      <c r="T23" s="40">
        <f t="shared" si="7"/>
        <v>425</v>
      </c>
      <c r="U23" s="7">
        <v>2</v>
      </c>
    </row>
    <row r="24" spans="2:21" x14ac:dyDescent="0.15">
      <c r="B24" s="1" t="s">
        <v>61</v>
      </c>
      <c r="D24" s="20">
        <f>-(SUM(D17:D22)*50%)</f>
        <v>-86850</v>
      </c>
      <c r="E24" s="10">
        <f t="shared" ref="E24:L24" si="9">-(SUM(E17:E20)*$O$14)-(E22*$O$28)</f>
        <v>-17721.900000000001</v>
      </c>
      <c r="F24" s="10">
        <f t="shared" si="9"/>
        <v>-18084.357000000004</v>
      </c>
      <c r="G24" s="10">
        <f t="shared" si="9"/>
        <v>-18980.667990000002</v>
      </c>
      <c r="H24" s="10">
        <f t="shared" si="9"/>
        <v>-19365.198621300002</v>
      </c>
      <c r="I24" s="10">
        <f t="shared" si="9"/>
        <v>-19761.265171539002</v>
      </c>
      <c r="J24" s="10">
        <f t="shared" si="9"/>
        <v>-20740.688390708732</v>
      </c>
      <c r="K24" s="10">
        <f t="shared" si="9"/>
        <v>-21160.875393857288</v>
      </c>
      <c r="L24" s="10">
        <f t="shared" si="9"/>
        <v>-21593.668007100303</v>
      </c>
      <c r="N24" s="1" t="s">
        <v>56</v>
      </c>
      <c r="O24" s="7">
        <v>104</v>
      </c>
      <c r="P24" s="7">
        <v>75</v>
      </c>
      <c r="Q24" s="40">
        <f t="shared" si="5"/>
        <v>7800</v>
      </c>
      <c r="R24" s="49">
        <f t="shared" si="6"/>
        <v>650</v>
      </c>
      <c r="S24" s="7">
        <v>2</v>
      </c>
      <c r="T24" s="40">
        <f t="shared" si="7"/>
        <v>325</v>
      </c>
      <c r="U24" s="7">
        <v>3</v>
      </c>
    </row>
    <row r="25" spans="2:21" x14ac:dyDescent="0.15">
      <c r="N25" s="1" t="s">
        <v>55</v>
      </c>
      <c r="O25" s="7">
        <v>80</v>
      </c>
      <c r="P25" s="7">
        <v>75</v>
      </c>
      <c r="Q25" s="40">
        <f t="shared" si="5"/>
        <v>6000</v>
      </c>
      <c r="R25" s="49">
        <f t="shared" si="6"/>
        <v>500</v>
      </c>
      <c r="S25" s="7">
        <v>1</v>
      </c>
      <c r="T25" s="40">
        <f t="shared" si="7"/>
        <v>500</v>
      </c>
      <c r="U25" s="7">
        <v>3</v>
      </c>
    </row>
    <row r="26" spans="2:21" x14ac:dyDescent="0.15">
      <c r="B26" s="21" t="s">
        <v>25</v>
      </c>
      <c r="C26" s="30"/>
      <c r="D26" s="30">
        <f t="shared" ref="D26:L26" si="10">SUM(D16:D25)</f>
        <v>86850</v>
      </c>
      <c r="E26" s="30">
        <f t="shared" si="10"/>
        <v>159497.1</v>
      </c>
      <c r="F26" s="30">
        <f t="shared" si="10"/>
        <v>162759.21299999999</v>
      </c>
      <c r="G26" s="30">
        <f t="shared" si="10"/>
        <v>170826.01191</v>
      </c>
      <c r="H26" s="30">
        <f t="shared" si="10"/>
        <v>174286.78759170003</v>
      </c>
      <c r="I26" s="30">
        <f t="shared" si="10"/>
        <v>177851.38654385103</v>
      </c>
      <c r="J26" s="30">
        <f t="shared" si="10"/>
        <v>186666.19551637859</v>
      </c>
      <c r="K26" s="30">
        <f t="shared" si="10"/>
        <v>190447.87854471561</v>
      </c>
      <c r="L26" s="30">
        <f t="shared" si="10"/>
        <v>194343.01206390272</v>
      </c>
      <c r="N26" s="27"/>
      <c r="O26" s="28">
        <f>SUMPRODUCT(O20:O25,U20:U25)</f>
        <v>1564</v>
      </c>
      <c r="P26" s="41">
        <f t="shared" ref="P26" si="11">Q26/O26</f>
        <v>75</v>
      </c>
      <c r="Q26" s="28">
        <f t="shared" ref="Q26" si="12">R26*12</f>
        <v>117300</v>
      </c>
      <c r="R26" s="28">
        <f>SUMPRODUCT(R20:R25,U20:U25)</f>
        <v>9775</v>
      </c>
      <c r="S26" s="28">
        <f>SUMPRODUCT(S20:S25,U20:U25)</f>
        <v>26</v>
      </c>
      <c r="T26" s="41">
        <f>R26/S26</f>
        <v>375.96153846153845</v>
      </c>
      <c r="U26" s="27">
        <f>SUM(U20:U25)</f>
        <v>11</v>
      </c>
    </row>
    <row r="28" spans="2:21" x14ac:dyDescent="0.15">
      <c r="B28" s="19" t="s">
        <v>88</v>
      </c>
      <c r="C28" s="19"/>
      <c r="D28" s="10">
        <f>-(O44-O46)</f>
        <v>-37928.856050955408</v>
      </c>
      <c r="E28" s="13">
        <f t="shared" ref="E28:L28" si="13">D28*(1+$O$47)</f>
        <v>-38687.433171974517</v>
      </c>
      <c r="F28" s="13">
        <f t="shared" si="13"/>
        <v>-39461.181835414005</v>
      </c>
      <c r="G28" s="13">
        <f t="shared" si="13"/>
        <v>-40250.405472122286</v>
      </c>
      <c r="H28" s="13">
        <f t="shared" si="13"/>
        <v>-41055.413581564731</v>
      </c>
      <c r="I28" s="13">
        <f t="shared" si="13"/>
        <v>-41876.521853196027</v>
      </c>
      <c r="J28" s="13">
        <f t="shared" si="13"/>
        <v>-42714.052290259948</v>
      </c>
      <c r="K28" s="13">
        <f t="shared" si="13"/>
        <v>-43568.333336065145</v>
      </c>
      <c r="L28" s="13">
        <f t="shared" si="13"/>
        <v>-44439.700002786449</v>
      </c>
      <c r="N28" s="1" t="s">
        <v>61</v>
      </c>
      <c r="O28" s="6">
        <v>0.1</v>
      </c>
    </row>
    <row r="29" spans="2:21" x14ac:dyDescent="0.15">
      <c r="C29" s="19"/>
      <c r="D29" s="10"/>
      <c r="E29" s="19"/>
      <c r="F29" s="19"/>
      <c r="G29" s="19"/>
      <c r="H29" s="19"/>
      <c r="I29" s="19"/>
      <c r="J29" s="19"/>
      <c r="K29" s="19"/>
      <c r="L29" s="19"/>
      <c r="N29" s="1" t="s">
        <v>59</v>
      </c>
      <c r="O29" s="33">
        <v>0.03</v>
      </c>
      <c r="P29" s="1" t="s">
        <v>60</v>
      </c>
      <c r="Q29" s="49"/>
    </row>
    <row r="30" spans="2:21" x14ac:dyDescent="0.15">
      <c r="B30" s="21" t="s">
        <v>8</v>
      </c>
      <c r="C30" s="24"/>
      <c r="D30" s="24">
        <f t="shared" ref="D30:L30" si="14">SUM(D26:D29)</f>
        <v>48921.143949044592</v>
      </c>
      <c r="E30" s="24">
        <f t="shared" si="14"/>
        <v>120809.66682802548</v>
      </c>
      <c r="F30" s="24">
        <f t="shared" si="14"/>
        <v>123298.03116458599</v>
      </c>
      <c r="G30" s="24">
        <f t="shared" si="14"/>
        <v>130575.60643787772</v>
      </c>
      <c r="H30" s="24">
        <f t="shared" si="14"/>
        <v>133231.3740101353</v>
      </c>
      <c r="I30" s="24">
        <f t="shared" si="14"/>
        <v>135974.864690655</v>
      </c>
      <c r="J30" s="24">
        <f t="shared" si="14"/>
        <v>143952.14322611864</v>
      </c>
      <c r="K30" s="24">
        <f t="shared" si="14"/>
        <v>146879.54520865047</v>
      </c>
      <c r="L30" s="24">
        <f t="shared" si="14"/>
        <v>149903.31206111627</v>
      </c>
    </row>
    <row r="31" spans="2:21" x14ac:dyDescent="0.15">
      <c r="C31" s="12"/>
    </row>
    <row r="32" spans="2:21" x14ac:dyDescent="0.15">
      <c r="B32" s="1" t="s">
        <v>7</v>
      </c>
      <c r="D32" s="20">
        <v>-5000</v>
      </c>
      <c r="E32" s="10">
        <f t="shared" ref="E32:L33" si="15">D32</f>
        <v>-5000</v>
      </c>
      <c r="F32" s="18">
        <f t="shared" si="15"/>
        <v>-5000</v>
      </c>
      <c r="G32" s="18">
        <f t="shared" si="15"/>
        <v>-5000</v>
      </c>
      <c r="H32" s="18">
        <f t="shared" si="15"/>
        <v>-5000</v>
      </c>
      <c r="I32" s="18">
        <f t="shared" si="15"/>
        <v>-5000</v>
      </c>
      <c r="J32" s="18">
        <f t="shared" si="15"/>
        <v>-5000</v>
      </c>
      <c r="K32" s="18">
        <f t="shared" si="15"/>
        <v>-5000</v>
      </c>
      <c r="L32" s="18">
        <f t="shared" si="15"/>
        <v>-5000</v>
      </c>
      <c r="N32" s="26" t="s">
        <v>26</v>
      </c>
      <c r="O32" s="26"/>
      <c r="P32" s="26"/>
      <c r="Q32" s="26"/>
      <c r="R32" s="26"/>
      <c r="S32" s="26"/>
      <c r="T32" s="26"/>
      <c r="U32" s="26"/>
    </row>
    <row r="33" spans="2:24" x14ac:dyDescent="0.15">
      <c r="B33" s="1" t="s">
        <v>75</v>
      </c>
      <c r="D33" s="20">
        <v>-2500</v>
      </c>
      <c r="E33" s="10">
        <f t="shared" si="15"/>
        <v>-2500</v>
      </c>
      <c r="F33" s="18">
        <f t="shared" si="15"/>
        <v>-2500</v>
      </c>
      <c r="G33" s="18">
        <f t="shared" si="15"/>
        <v>-2500</v>
      </c>
      <c r="H33" s="18">
        <f t="shared" si="15"/>
        <v>-2500</v>
      </c>
      <c r="I33" s="18">
        <f t="shared" si="15"/>
        <v>-2500</v>
      </c>
      <c r="J33" s="18">
        <f t="shared" si="15"/>
        <v>-2500</v>
      </c>
      <c r="K33" s="18">
        <f t="shared" si="15"/>
        <v>-2500</v>
      </c>
      <c r="L33" s="18">
        <f t="shared" si="15"/>
        <v>-2500</v>
      </c>
      <c r="N33" s="1" t="s">
        <v>72</v>
      </c>
      <c r="O33" s="20">
        <v>5000</v>
      </c>
      <c r="X33" s="12"/>
    </row>
    <row r="34" spans="2:24" x14ac:dyDescent="0.15">
      <c r="B34" s="1" t="s">
        <v>98</v>
      </c>
      <c r="D34" s="18">
        <f t="shared" ref="D34:F34" si="16">-D26*2%</f>
        <v>-1737</v>
      </c>
      <c r="E34" s="18">
        <f t="shared" si="16"/>
        <v>-3189.942</v>
      </c>
      <c r="F34" s="18">
        <f t="shared" si="16"/>
        <v>-3255.18426</v>
      </c>
      <c r="G34" s="18">
        <f>-G26*2%</f>
        <v>-3416.5202382000002</v>
      </c>
      <c r="H34" s="18">
        <f t="shared" ref="H34:L34" si="17">-H26*2%</f>
        <v>-3485.7357518340009</v>
      </c>
      <c r="I34" s="18">
        <f t="shared" si="17"/>
        <v>-3557.0277308770205</v>
      </c>
      <c r="J34" s="18">
        <f t="shared" si="17"/>
        <v>-3733.3239103275719</v>
      </c>
      <c r="K34" s="18">
        <f t="shared" si="17"/>
        <v>-3808.9575708943121</v>
      </c>
      <c r="L34" s="18">
        <f t="shared" si="17"/>
        <v>-3886.8602412780542</v>
      </c>
      <c r="N34" s="1" t="s">
        <v>62</v>
      </c>
      <c r="O34" s="20">
        <v>20000</v>
      </c>
      <c r="P34" s="1" t="s">
        <v>97</v>
      </c>
      <c r="W34" s="12"/>
      <c r="X34" s="12"/>
    </row>
    <row r="35" spans="2:24" x14ac:dyDescent="0.15">
      <c r="N35" s="1" t="s">
        <v>63</v>
      </c>
      <c r="O35" s="20">
        <f>7*((C14+D26)/1000)</f>
        <v>10757.949999999999</v>
      </c>
      <c r="P35" s="1" t="s">
        <v>87</v>
      </c>
      <c r="W35" s="12"/>
      <c r="X35" s="12"/>
    </row>
    <row r="36" spans="2:24" x14ac:dyDescent="0.15">
      <c r="B36" s="1" t="s">
        <v>9</v>
      </c>
      <c r="L36" s="10">
        <f>O65</f>
        <v>2498388.5343519379</v>
      </c>
      <c r="N36" s="1" t="s">
        <v>64</v>
      </c>
      <c r="O36" s="20">
        <f>D26*5%</f>
        <v>4342.5</v>
      </c>
      <c r="P36" s="1" t="s">
        <v>73</v>
      </c>
      <c r="W36" s="12"/>
      <c r="X36" s="12"/>
    </row>
    <row r="37" spans="2:24" x14ac:dyDescent="0.15">
      <c r="B37" s="1" t="s">
        <v>5</v>
      </c>
      <c r="L37" s="13">
        <f>-L36*O68</f>
        <v>-124919.4267175969</v>
      </c>
      <c r="N37" s="1" t="s">
        <v>65</v>
      </c>
      <c r="O37" s="20">
        <f>125*12</f>
        <v>1500</v>
      </c>
      <c r="P37" s="1" t="s">
        <v>89</v>
      </c>
      <c r="W37" s="12"/>
      <c r="X37" s="12"/>
    </row>
    <row r="38" spans="2:24" x14ac:dyDescent="0.15">
      <c r="N38" s="1" t="s">
        <v>66</v>
      </c>
      <c r="O38" s="20">
        <f>260*12</f>
        <v>3120</v>
      </c>
      <c r="P38" s="1" t="s">
        <v>82</v>
      </c>
      <c r="W38" s="12"/>
      <c r="X38" s="12"/>
    </row>
    <row r="39" spans="2:24" x14ac:dyDescent="0.15">
      <c r="B39" s="2" t="s">
        <v>17</v>
      </c>
      <c r="C39" s="24">
        <f t="shared" ref="C39:L39" si="18">-C14+SUM(C30:C38)</f>
        <v>-1450000</v>
      </c>
      <c r="D39" s="24">
        <f t="shared" si="18"/>
        <v>39684.143949044592</v>
      </c>
      <c r="E39" s="24">
        <f t="shared" si="18"/>
        <v>110119.72482802549</v>
      </c>
      <c r="F39" s="24">
        <f t="shared" si="18"/>
        <v>112542.846904586</v>
      </c>
      <c r="G39" s="24">
        <f t="shared" si="18"/>
        <v>119659.08619967772</v>
      </c>
      <c r="H39" s="24">
        <f t="shared" si="18"/>
        <v>122245.6382583013</v>
      </c>
      <c r="I39" s="24">
        <f t="shared" si="18"/>
        <v>124917.83695977798</v>
      </c>
      <c r="J39" s="24">
        <f t="shared" si="18"/>
        <v>132718.81931579107</v>
      </c>
      <c r="K39" s="24">
        <f t="shared" si="18"/>
        <v>135570.58763775617</v>
      </c>
      <c r="L39" s="24">
        <f t="shared" si="18"/>
        <v>2511985.5594541789</v>
      </c>
      <c r="N39" s="1" t="s">
        <v>68</v>
      </c>
      <c r="O39" s="20">
        <v>5000</v>
      </c>
      <c r="W39" s="12"/>
      <c r="X39" s="12"/>
    </row>
    <row r="40" spans="2:24" x14ac:dyDescent="0.15">
      <c r="C40" s="15"/>
      <c r="N40" s="1" t="s">
        <v>67</v>
      </c>
      <c r="O40" s="20">
        <v>2500</v>
      </c>
      <c r="P40" s="1" t="s">
        <v>74</v>
      </c>
      <c r="W40" s="12"/>
      <c r="X40" s="12"/>
    </row>
    <row r="41" spans="2:24" x14ac:dyDescent="0.15">
      <c r="B41" s="19" t="s">
        <v>40</v>
      </c>
      <c r="E41" s="18">
        <f>O54</f>
        <v>1014999.9999999999</v>
      </c>
      <c r="N41" s="1" t="s">
        <v>69</v>
      </c>
      <c r="O41" s="20">
        <f>665*12*50%</f>
        <v>3990</v>
      </c>
      <c r="P41" s="1" t="s">
        <v>83</v>
      </c>
      <c r="W41" s="12"/>
      <c r="X41" s="12"/>
    </row>
    <row r="42" spans="2:24" x14ac:dyDescent="0.15">
      <c r="B42" s="1" t="s">
        <v>41</v>
      </c>
      <c r="E42" s="36">
        <f>-(E41*O59+O60)</f>
        <v>-30225</v>
      </c>
      <c r="N42" s="1" t="s">
        <v>70</v>
      </c>
      <c r="O42" s="20">
        <f>300*12</f>
        <v>3600</v>
      </c>
      <c r="P42" s="1" t="s">
        <v>76</v>
      </c>
      <c r="W42" s="12"/>
      <c r="X42" s="12"/>
    </row>
    <row r="43" spans="2:24" x14ac:dyDescent="0.15">
      <c r="N43" s="1" t="s">
        <v>71</v>
      </c>
      <c r="O43" s="20">
        <f>300*12</f>
        <v>3600</v>
      </c>
      <c r="P43" s="1" t="s">
        <v>84</v>
      </c>
      <c r="R43" s="47"/>
      <c r="W43" s="12"/>
      <c r="X43" s="12"/>
    </row>
    <row r="44" spans="2:24" x14ac:dyDescent="0.15">
      <c r="B44" s="1" t="s">
        <v>3</v>
      </c>
      <c r="D44" s="13"/>
      <c r="E44" s="13">
        <f>-IPMT($O$55,1,$O$56,-$O$54)</f>
        <v>-48212.499999999993</v>
      </c>
      <c r="F44" s="13">
        <f>-IPMT($O$55,2,$O$56,-$O$54)</f>
        <v>-47167.005879123491</v>
      </c>
      <c r="G44" s="13">
        <f>-IPMT($O$55,3,$O$56,-$O$54)</f>
        <v>-46071.850787505355</v>
      </c>
      <c r="H44" s="13">
        <f>-IPMT($O$55,4,$O$56,-$O$54)</f>
        <v>-44924.675829035354</v>
      </c>
      <c r="I44" s="13">
        <f>-IPMT($O$55,5,$O$56,-$O$54)</f>
        <v>-43723.010060038017</v>
      </c>
      <c r="J44" s="13">
        <f>-IPMT($O$55,6,$O$56,-$O$54)</f>
        <v>-42464.265167013335</v>
      </c>
      <c r="K44" s="13">
        <f>-IPMT($O$55,7,$O$56,-$O$54)</f>
        <v>-41145.729891569965</v>
      </c>
      <c r="L44" s="13">
        <f>-IPMT($O$55,8,$O$56,-$O$54)</f>
        <v>-39764.564190543024</v>
      </c>
      <c r="N44" s="27"/>
      <c r="O44" s="39">
        <f>SUM(O33:O43)</f>
        <v>63410.45</v>
      </c>
      <c r="P44" s="43">
        <f>O44/E26</f>
        <v>0.39756490870366917</v>
      </c>
      <c r="Q44" s="27" t="s">
        <v>77</v>
      </c>
      <c r="S44" s="27"/>
      <c r="T44" s="27"/>
      <c r="U44" s="42"/>
      <c r="W44" s="12"/>
      <c r="X44" s="12"/>
    </row>
    <row r="45" spans="2:24" x14ac:dyDescent="0.15">
      <c r="B45" s="1" t="s">
        <v>4</v>
      </c>
      <c r="D45" s="13"/>
      <c r="E45" s="13">
        <f>-PPMT($O$55,1,$O$56,-$O$54)</f>
        <v>-22010.402544768505</v>
      </c>
      <c r="F45" s="13">
        <f>-PPMT($O$55,2,$O$56,-$O$54)</f>
        <v>-23055.896665645007</v>
      </c>
      <c r="G45" s="13">
        <f>-PPMT($O$55,3,$O$56,-$O$54)</f>
        <v>-24151.05175726314</v>
      </c>
      <c r="H45" s="13">
        <f>-PPMT($O$55,4,$O$56,-$O$54)</f>
        <v>-25298.226715733141</v>
      </c>
      <c r="I45" s="13">
        <f>-PPMT($O$55,5,$O$56,-$O$54)</f>
        <v>-26499.892484730466</v>
      </c>
      <c r="J45" s="13">
        <f>-PPMT($O$55,6,$O$56,-$O$54)</f>
        <v>-27758.637377755163</v>
      </c>
      <c r="K45" s="13">
        <f>-PPMT($O$55,7,$O$56,-$O$54)</f>
        <v>-29077.172653198533</v>
      </c>
      <c r="L45" s="13">
        <f>-PPMT($O$55,8,$O$56,-$O$54)</f>
        <v>-30458.338354225463</v>
      </c>
      <c r="O45" s="12"/>
    </row>
    <row r="46" spans="2:24" x14ac:dyDescent="0.15">
      <c r="N46" s="1" t="s">
        <v>86</v>
      </c>
      <c r="O46" s="44">
        <f>(O34+O35+O37+O38+O41+O42+O43)*P46</f>
        <v>25481.593949044585</v>
      </c>
      <c r="P46" s="46">
        <f>O12/(O12+O26)</f>
        <v>0.54719166184134338</v>
      </c>
      <c r="Q46" s="1" t="s">
        <v>85</v>
      </c>
    </row>
    <row r="47" spans="2:24" x14ac:dyDescent="0.15">
      <c r="B47" s="1" t="s">
        <v>42</v>
      </c>
      <c r="D47" s="12"/>
      <c r="L47" s="18">
        <f>-(O54+SUM(E45:L45))</f>
        <v>-806690.38144668052</v>
      </c>
      <c r="N47" s="1" t="s">
        <v>80</v>
      </c>
      <c r="O47" s="33">
        <v>0.02</v>
      </c>
      <c r="P47" s="1" t="s">
        <v>60</v>
      </c>
    </row>
    <row r="49" spans="2:21" x14ac:dyDescent="0.15">
      <c r="B49" s="2" t="s">
        <v>1</v>
      </c>
      <c r="C49" s="14">
        <f t="shared" ref="C49:L49" si="19">SUM(C39:C47)</f>
        <v>-1450000</v>
      </c>
      <c r="D49" s="14">
        <f t="shared" si="19"/>
        <v>39684.143949044592</v>
      </c>
      <c r="E49" s="14">
        <f t="shared" si="19"/>
        <v>1024671.8222832568</v>
      </c>
      <c r="F49" s="14">
        <f t="shared" si="19"/>
        <v>42319.944359817498</v>
      </c>
      <c r="G49" s="14">
        <f t="shared" si="19"/>
        <v>49436.183654909226</v>
      </c>
      <c r="H49" s="14">
        <f t="shared" si="19"/>
        <v>52022.73571353282</v>
      </c>
      <c r="I49" s="14">
        <f t="shared" si="19"/>
        <v>54694.934415009506</v>
      </c>
      <c r="J49" s="14">
        <f t="shared" si="19"/>
        <v>62495.916771022574</v>
      </c>
      <c r="K49" s="14">
        <f t="shared" si="19"/>
        <v>65347.685092987667</v>
      </c>
      <c r="L49" s="14">
        <f t="shared" si="19"/>
        <v>1635072.2754627303</v>
      </c>
      <c r="N49" s="1" t="s">
        <v>98</v>
      </c>
      <c r="O49" s="33">
        <v>0.02</v>
      </c>
      <c r="P49" s="1" t="s">
        <v>99</v>
      </c>
    </row>
    <row r="50" spans="2:21" x14ac:dyDescent="0.15">
      <c r="D50" s="7"/>
      <c r="G50" s="4"/>
      <c r="H50" s="4"/>
      <c r="I50" s="4"/>
      <c r="J50" s="4"/>
      <c r="K50" s="4"/>
    </row>
    <row r="51" spans="2:21" x14ac:dyDescent="0.15">
      <c r="B51" s="1" t="s">
        <v>6</v>
      </c>
      <c r="C51" s="15">
        <f>IRR(C49:L49)</f>
        <v>0.14561359848520206</v>
      </c>
      <c r="D51" s="11"/>
      <c r="E51" s="11"/>
      <c r="F51" s="11"/>
      <c r="G51" s="11"/>
      <c r="H51" s="11"/>
      <c r="I51" s="11"/>
      <c r="J51" s="11"/>
      <c r="K51" s="11"/>
      <c r="L51" s="11"/>
    </row>
    <row r="52" spans="2:21" x14ac:dyDescent="0.15">
      <c r="B52" s="1" t="s">
        <v>15</v>
      </c>
      <c r="C52" s="15"/>
      <c r="D52" s="11">
        <f t="shared" ref="D52:L52" si="20">D30/$C$14</f>
        <v>3.3738719964858339E-2</v>
      </c>
      <c r="E52" s="11">
        <f t="shared" si="20"/>
        <v>8.3317011605534813E-2</v>
      </c>
      <c r="F52" s="11">
        <f t="shared" si="20"/>
        <v>8.5033124941093788E-2</v>
      </c>
      <c r="G52" s="11">
        <f t="shared" si="20"/>
        <v>9.0052142370950147E-2</v>
      </c>
      <c r="H52" s="11">
        <f t="shared" si="20"/>
        <v>9.1883706213886418E-2</v>
      </c>
      <c r="I52" s="11">
        <f t="shared" si="20"/>
        <v>9.3775768752175859E-2</v>
      </c>
      <c r="J52" s="11">
        <f t="shared" si="20"/>
        <v>9.9277340155943888E-2</v>
      </c>
      <c r="K52" s="11">
        <f t="shared" si="20"/>
        <v>0.10129623807493135</v>
      </c>
      <c r="L52" s="11">
        <f t="shared" si="20"/>
        <v>0.10338159452490778</v>
      </c>
      <c r="N52" s="26" t="s">
        <v>36</v>
      </c>
      <c r="O52" s="26"/>
      <c r="P52" s="26"/>
      <c r="Q52" s="26"/>
      <c r="R52" s="26"/>
      <c r="S52" s="26"/>
      <c r="T52" s="26"/>
      <c r="U52" s="26"/>
    </row>
    <row r="53" spans="2:21" x14ac:dyDescent="0.15">
      <c r="B53" s="1" t="s">
        <v>12</v>
      </c>
      <c r="D53" s="12">
        <f t="shared" ref="D53:L53" si="21">IFERROR(D30/-SUM(D44:D45),0)</f>
        <v>0</v>
      </c>
      <c r="E53" s="12">
        <f t="shared" si="21"/>
        <v>1.7203741578612037</v>
      </c>
      <c r="F53" s="12">
        <f t="shared" si="21"/>
        <v>1.7558093826438039</v>
      </c>
      <c r="G53" s="12">
        <f t="shared" si="21"/>
        <v>1.8594447353501684</v>
      </c>
      <c r="H53" s="12">
        <f t="shared" si="21"/>
        <v>1.8972638438748335</v>
      </c>
      <c r="I53" s="12">
        <f t="shared" si="21"/>
        <v>1.9363321617754028</v>
      </c>
      <c r="J53" s="12">
        <f t="shared" si="21"/>
        <v>2.0499315466823131</v>
      </c>
      <c r="K53" s="12">
        <f t="shared" si="21"/>
        <v>2.0916188292702915</v>
      </c>
      <c r="L53" s="12">
        <f t="shared" si="21"/>
        <v>2.1346783831037168</v>
      </c>
      <c r="N53" s="1" t="s">
        <v>37</v>
      </c>
      <c r="O53" s="6">
        <v>0.7</v>
      </c>
    </row>
    <row r="54" spans="2:21" x14ac:dyDescent="0.15">
      <c r="D54" s="12"/>
      <c r="E54" s="12"/>
      <c r="F54" s="12"/>
      <c r="G54" s="12"/>
      <c r="H54" s="12"/>
      <c r="I54" s="12"/>
      <c r="J54" s="12"/>
      <c r="K54" s="12"/>
      <c r="L54" s="12"/>
      <c r="N54" s="1" t="s">
        <v>14</v>
      </c>
      <c r="O54" s="32">
        <f>C14*O53</f>
        <v>1014999.9999999999</v>
      </c>
    </row>
    <row r="55" spans="2:21" x14ac:dyDescent="0.15">
      <c r="B55" s="1" t="s">
        <v>16</v>
      </c>
      <c r="C55" s="10">
        <f>C14</f>
        <v>1450000</v>
      </c>
      <c r="D55" s="10">
        <f>C55-(D41+D42)</f>
        <v>1450000</v>
      </c>
      <c r="E55" s="10">
        <f t="shared" ref="E55:L55" si="22">D55-(E41+E42)</f>
        <v>465225.00000000012</v>
      </c>
      <c r="F55" s="10">
        <f t="shared" si="22"/>
        <v>465225.00000000012</v>
      </c>
      <c r="G55" s="10">
        <f t="shared" si="22"/>
        <v>465225.00000000012</v>
      </c>
      <c r="H55" s="10">
        <f t="shared" si="22"/>
        <v>465225.00000000012</v>
      </c>
      <c r="I55" s="10">
        <f t="shared" si="22"/>
        <v>465225.00000000012</v>
      </c>
      <c r="J55" s="10">
        <f t="shared" si="22"/>
        <v>465225.00000000012</v>
      </c>
      <c r="K55" s="10">
        <f t="shared" si="22"/>
        <v>465225.00000000012</v>
      </c>
      <c r="L55" s="10">
        <f t="shared" si="22"/>
        <v>465225.00000000012</v>
      </c>
      <c r="N55" s="1" t="s">
        <v>0</v>
      </c>
      <c r="O55" s="37">
        <v>4.7500000000000001E-2</v>
      </c>
    </row>
    <row r="56" spans="2:21" x14ac:dyDescent="0.15">
      <c r="B56" s="1" t="s">
        <v>10</v>
      </c>
      <c r="D56" s="11">
        <f t="shared" ref="D56:L56" si="23">D49/D55</f>
        <v>2.7368375137272132E-2</v>
      </c>
      <c r="E56" s="11">
        <f t="shared" si="23"/>
        <v>2.2025295766204667</v>
      </c>
      <c r="F56" s="11">
        <f t="shared" si="23"/>
        <v>9.0966616926900931E-2</v>
      </c>
      <c r="G56" s="11">
        <f t="shared" si="23"/>
        <v>0.10626295589211503</v>
      </c>
      <c r="H56" s="11">
        <f t="shared" si="23"/>
        <v>0.11182274321786836</v>
      </c>
      <c r="I56" s="11">
        <f t="shared" si="23"/>
        <v>0.11756662779302379</v>
      </c>
      <c r="J56" s="11">
        <f t="shared" si="23"/>
        <v>0.13433482029345489</v>
      </c>
      <c r="K56" s="11">
        <f t="shared" si="23"/>
        <v>0.14046468932879286</v>
      </c>
      <c r="L56" s="11">
        <f t="shared" si="23"/>
        <v>3.5145838582679994</v>
      </c>
      <c r="N56" s="1" t="s">
        <v>2</v>
      </c>
      <c r="O56" s="7">
        <v>25</v>
      </c>
    </row>
    <row r="57" spans="2:21" x14ac:dyDescent="0.15">
      <c r="B57" s="1" t="s">
        <v>11</v>
      </c>
      <c r="D57" s="11">
        <f t="shared" ref="D57:L57" si="24">(D49-D45)/D55</f>
        <v>2.7368375137272132E-2</v>
      </c>
      <c r="E57" s="11">
        <f t="shared" si="24"/>
        <v>2.2498408830738352</v>
      </c>
      <c r="F57" s="11">
        <f t="shared" si="24"/>
        <v>0.14052521043680474</v>
      </c>
      <c r="G57" s="11">
        <f t="shared" si="24"/>
        <v>0.15817558259373926</v>
      </c>
      <c r="H57" s="11">
        <f t="shared" si="24"/>
        <v>0.16620121968781973</v>
      </c>
      <c r="I57" s="11">
        <f t="shared" si="24"/>
        <v>0.17452808189529787</v>
      </c>
      <c r="J57" s="11">
        <f t="shared" si="24"/>
        <v>0.194001943465587</v>
      </c>
      <c r="K57" s="11">
        <f t="shared" si="24"/>
        <v>0.20296600085160121</v>
      </c>
      <c r="L57" s="11">
        <f t="shared" si="24"/>
        <v>3.580053982088141</v>
      </c>
      <c r="N57" s="1" t="s">
        <v>38</v>
      </c>
      <c r="O57" s="7">
        <v>10</v>
      </c>
    </row>
    <row r="59" spans="2:21" x14ac:dyDescent="0.15">
      <c r="G59" s="12"/>
      <c r="L59" s="18"/>
      <c r="N59" s="1" t="s">
        <v>39</v>
      </c>
      <c r="O59" s="33">
        <v>1.4999999999999999E-2</v>
      </c>
    </row>
    <row r="60" spans="2:21" x14ac:dyDescent="0.15">
      <c r="L60" s="12"/>
      <c r="N60" s="1" t="s">
        <v>18</v>
      </c>
      <c r="O60" s="20">
        <v>15000</v>
      </c>
    </row>
    <row r="63" spans="2:21" x14ac:dyDescent="0.15">
      <c r="B63" s="1" t="s">
        <v>92</v>
      </c>
      <c r="C63" s="18">
        <f>C49</f>
        <v>-1450000</v>
      </c>
      <c r="D63" s="32">
        <f t="shared" ref="D63:K63" si="25">(D41+D42)+(D39+D44+D45)*$O$72</f>
        <v>27778.900764331214</v>
      </c>
      <c r="E63" s="32">
        <f t="shared" si="25"/>
        <v>1012702.7755982798</v>
      </c>
      <c r="F63" s="32">
        <f t="shared" si="25"/>
        <v>29623.961051872247</v>
      </c>
      <c r="G63" s="32">
        <f t="shared" si="25"/>
        <v>34605.328558436457</v>
      </c>
      <c r="H63" s="32">
        <f t="shared" si="25"/>
        <v>36415.914999472974</v>
      </c>
      <c r="I63" s="32">
        <f t="shared" si="25"/>
        <v>38286.454090506653</v>
      </c>
      <c r="J63" s="32">
        <f t="shared" si="25"/>
        <v>43747.1417397158</v>
      </c>
      <c r="K63" s="32">
        <f t="shared" si="25"/>
        <v>45743.379565091367</v>
      </c>
      <c r="L63" s="20">
        <f>L55+(L49-L55)*O72</f>
        <v>1284118.0928239115</v>
      </c>
      <c r="N63" s="26" t="s">
        <v>33</v>
      </c>
      <c r="O63" s="26"/>
      <c r="P63" s="26"/>
      <c r="Q63" s="26"/>
      <c r="R63" s="26"/>
      <c r="S63" s="26"/>
      <c r="T63" s="26"/>
      <c r="U63" s="26"/>
    </row>
    <row r="64" spans="2:21" x14ac:dyDescent="0.15">
      <c r="B64" s="1" t="s">
        <v>96</v>
      </c>
      <c r="C64" s="18">
        <v>0</v>
      </c>
      <c r="D64" s="18">
        <f t="shared" ref="D64:K64" si="26">(D39+D44+D45)*(1-$O$72)</f>
        <v>11905.243184713379</v>
      </c>
      <c r="E64" s="18">
        <f t="shared" si="26"/>
        <v>11969.046684977098</v>
      </c>
      <c r="F64" s="18">
        <f t="shared" si="26"/>
        <v>12695.983307945251</v>
      </c>
      <c r="G64" s="18">
        <f t="shared" si="26"/>
        <v>14830.855096472769</v>
      </c>
      <c r="H64" s="18">
        <f t="shared" si="26"/>
        <v>15606.820714059848</v>
      </c>
      <c r="I64" s="18">
        <f t="shared" si="26"/>
        <v>16408.480324502852</v>
      </c>
      <c r="J64" s="18">
        <f t="shared" si="26"/>
        <v>18748.775031306774</v>
      </c>
      <c r="K64" s="18">
        <f t="shared" si="26"/>
        <v>19604.305527896304</v>
      </c>
      <c r="L64" s="20">
        <f>(L49-L55)*(1-$O$72)</f>
        <v>350954.18263881915</v>
      </c>
      <c r="N64" s="1" t="s">
        <v>34</v>
      </c>
      <c r="O64" s="33">
        <v>0.06</v>
      </c>
    </row>
    <row r="65" spans="2:21" x14ac:dyDescent="0.15">
      <c r="C65" s="1" t="b">
        <f>SUM(C63:C64)=C49</f>
        <v>1</v>
      </c>
      <c r="D65" s="1" t="b">
        <f t="shared" ref="D65:L65" si="27">SUM(D63:D64)=D49</f>
        <v>1</v>
      </c>
      <c r="E65" s="1" t="b">
        <f t="shared" si="27"/>
        <v>1</v>
      </c>
      <c r="F65" s="1" t="b">
        <f t="shared" si="27"/>
        <v>1</v>
      </c>
      <c r="G65" s="1" t="b">
        <f t="shared" si="27"/>
        <v>1</v>
      </c>
      <c r="H65" s="1" t="b">
        <f t="shared" si="27"/>
        <v>1</v>
      </c>
      <c r="I65" s="1" t="b">
        <f t="shared" si="27"/>
        <v>1</v>
      </c>
      <c r="J65" s="1" t="b">
        <f t="shared" si="27"/>
        <v>1</v>
      </c>
      <c r="K65" s="1" t="b">
        <f t="shared" si="27"/>
        <v>1</v>
      </c>
      <c r="L65" s="1" t="b">
        <f t="shared" si="27"/>
        <v>1</v>
      </c>
      <c r="N65" s="1" t="s">
        <v>35</v>
      </c>
      <c r="O65" s="32">
        <f>L30/O64</f>
        <v>2498388.5343519379</v>
      </c>
    </row>
    <row r="66" spans="2:21" x14ac:dyDescent="0.15">
      <c r="N66" s="1" t="s">
        <v>13</v>
      </c>
      <c r="O66" s="32">
        <f>O65/O3</f>
        <v>469.62190495337177</v>
      </c>
    </row>
    <row r="67" spans="2:21" x14ac:dyDescent="0.15">
      <c r="B67" s="1" t="s">
        <v>95</v>
      </c>
      <c r="C67" s="15">
        <f>IRR(C63:L63,1)</f>
        <v>0.1143272450075874</v>
      </c>
      <c r="L67" s="18"/>
    </row>
    <row r="68" spans="2:21" x14ac:dyDescent="0.15">
      <c r="N68" s="1" t="s">
        <v>5</v>
      </c>
      <c r="O68" s="6">
        <v>0.05</v>
      </c>
    </row>
    <row r="71" spans="2:21" x14ac:dyDescent="0.15">
      <c r="N71" s="26" t="s">
        <v>93</v>
      </c>
      <c r="O71" s="26"/>
      <c r="P71" s="26"/>
      <c r="Q71" s="26"/>
      <c r="R71" s="26"/>
      <c r="S71" s="26"/>
      <c r="T71" s="26"/>
      <c r="U71" s="26"/>
    </row>
    <row r="72" spans="2:21" x14ac:dyDescent="0.15">
      <c r="N72" s="1" t="s">
        <v>94</v>
      </c>
      <c r="O72" s="6">
        <v>0.7</v>
      </c>
    </row>
    <row r="74" spans="2:21" x14ac:dyDescent="0.15">
      <c r="O74" s="32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AD6DB-5D9D-504F-9F62-C3AEAEB53CA1}">
  <sheetPr>
    <tabColor theme="3"/>
  </sheetPr>
  <dimension ref="B1:N37"/>
  <sheetViews>
    <sheetView workbookViewId="0">
      <selection activeCell="O18" sqref="O18"/>
    </sheetView>
  </sheetViews>
  <sheetFormatPr baseColWidth="10" defaultColWidth="10.83203125" defaultRowHeight="13" x14ac:dyDescent="0.15"/>
  <cols>
    <col min="1" max="1" width="2" style="1" customWidth="1"/>
    <col min="2" max="2" width="30.5" style="1" customWidth="1"/>
    <col min="3" max="4" width="10.83203125" style="1" customWidth="1"/>
    <col min="5" max="5" width="11.33203125" style="1" bestFit="1" customWidth="1"/>
    <col min="6" max="6" width="10.83203125" style="1" customWidth="1"/>
    <col min="7" max="7" width="11.33203125" style="1" bestFit="1" customWidth="1"/>
    <col min="8" max="11" width="10.83203125" style="1"/>
    <col min="12" max="12" width="10.83203125" style="1" customWidth="1"/>
    <col min="13" max="13" width="10.83203125" style="1"/>
    <col min="14" max="14" width="12.6640625" style="1" bestFit="1" customWidth="1"/>
    <col min="15" max="16384" width="10.83203125" style="1"/>
  </cols>
  <sheetData>
    <row r="1" spans="2:14" ht="12" customHeight="1" thickBot="1" x14ac:dyDescent="0.2"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2:14" x14ac:dyDescent="0.15">
      <c r="B2" s="2" t="s">
        <v>104</v>
      </c>
      <c r="C2" s="2"/>
    </row>
    <row r="3" spans="2:14" x14ac:dyDescent="0.15">
      <c r="B3" s="2"/>
      <c r="C3" s="2"/>
    </row>
    <row r="4" spans="2:14" x14ac:dyDescent="0.15">
      <c r="C4" s="23">
        <v>2022</v>
      </c>
      <c r="D4" s="23">
        <v>2023</v>
      </c>
      <c r="E4" s="23">
        <v>2024</v>
      </c>
      <c r="F4" s="23">
        <v>2025</v>
      </c>
      <c r="G4" s="23">
        <v>2026</v>
      </c>
      <c r="H4" s="23">
        <v>2027</v>
      </c>
      <c r="I4" s="23">
        <v>2028</v>
      </c>
      <c r="J4" s="23">
        <v>2029</v>
      </c>
      <c r="K4" s="23">
        <v>2030</v>
      </c>
      <c r="L4" s="23">
        <v>2031</v>
      </c>
    </row>
    <row r="5" spans="2:14" x14ac:dyDescent="0.15">
      <c r="C5" s="9">
        <v>1</v>
      </c>
      <c r="D5" s="9">
        <v>2</v>
      </c>
      <c r="E5" s="9">
        <v>3</v>
      </c>
      <c r="F5" s="9">
        <v>4</v>
      </c>
      <c r="G5" s="9">
        <v>5</v>
      </c>
      <c r="H5" s="9">
        <v>6</v>
      </c>
      <c r="I5" s="9">
        <v>7</v>
      </c>
      <c r="J5" s="9">
        <v>8</v>
      </c>
      <c r="K5" s="9">
        <v>9</v>
      </c>
      <c r="L5" s="9">
        <v>10</v>
      </c>
    </row>
    <row r="6" spans="2:14" x14ac:dyDescent="0.15">
      <c r="B6" s="22"/>
      <c r="D6" s="8"/>
      <c r="G6" s="5"/>
      <c r="H6" s="5"/>
      <c r="I6" s="5"/>
      <c r="J6" s="5"/>
      <c r="K6" s="5"/>
    </row>
    <row r="7" spans="2:14" x14ac:dyDescent="0.15">
      <c r="B7" s="51" t="s">
        <v>105</v>
      </c>
      <c r="C7" s="52">
        <f>'Cash Flow'!C55*(1/14.5)</f>
        <v>100000</v>
      </c>
      <c r="D7" s="52">
        <f>C11</f>
        <v>100000</v>
      </c>
      <c r="E7" s="52">
        <f>D11</f>
        <v>100000</v>
      </c>
      <c r="F7" s="52">
        <f>E11</f>
        <v>32084.482758620696</v>
      </c>
      <c r="G7" s="52">
        <f t="shared" ref="G7:L7" si="0">F11</f>
        <v>32084.482758620696</v>
      </c>
      <c r="H7" s="52">
        <f t="shared" si="0"/>
        <v>32084.482758620696</v>
      </c>
      <c r="I7" s="52">
        <f t="shared" si="0"/>
        <v>32084.482758620696</v>
      </c>
      <c r="J7" s="52">
        <f t="shared" si="0"/>
        <v>32084.482758620696</v>
      </c>
      <c r="K7" s="52">
        <f t="shared" si="0"/>
        <v>32084.482758620696</v>
      </c>
      <c r="L7" s="52">
        <f t="shared" si="0"/>
        <v>32084.482758620696</v>
      </c>
    </row>
    <row r="8" spans="2:14" x14ac:dyDescent="0.15">
      <c r="B8" s="53" t="s">
        <v>106</v>
      </c>
      <c r="C8" s="10">
        <f>(SUM('Cash Flow'!C30:C34)+'Cash Flow'!C44+'Cash Flow'!C45)*'Cash Flow'!$O$72*(1/14.5)</f>
        <v>0</v>
      </c>
      <c r="D8" s="10">
        <f>(SUM('Cash Flow'!D30:D34)+'Cash Flow'!D44+'Cash Flow'!D45)*'Cash Flow'!$O$72*(1/14.5)</f>
        <v>1915.7862596090492</v>
      </c>
      <c r="E8" s="10">
        <f>(SUM('Cash Flow'!E30:E34)+'Cash Flow'!E44+'Cash Flow'!E45)*'Cash Flow'!$O$72*(1/14.5)</f>
        <v>1926.0534895365442</v>
      </c>
      <c r="F8" s="10">
        <f>(SUM('Cash Flow'!F30:F34)+'Cash Flow'!F44+'Cash Flow'!F45)*'Cash Flow'!$O$72*(1/14.5)</f>
        <v>2043.0317966808445</v>
      </c>
      <c r="G8" s="10">
        <f>(SUM('Cash Flow'!G30:G34)+'Cash Flow'!G44+'Cash Flow'!G45)*'Cash Flow'!$O$72*(1/14.5)</f>
        <v>2386.5743833404454</v>
      </c>
      <c r="H8" s="10">
        <f>(SUM('Cash Flow'!H30:H34)+'Cash Flow'!H44+'Cash Flow'!H45)*'Cash Flow'!$O$72*(1/14.5)</f>
        <v>2511.4424137567567</v>
      </c>
      <c r="I8" s="10">
        <f>(SUM('Cash Flow'!I30:I34)+'Cash Flow'!I44+'Cash Flow'!I45)*'Cash Flow'!$O$72*(1/14.5)</f>
        <v>2640.4451096901139</v>
      </c>
      <c r="J8" s="10">
        <f>(SUM('Cash Flow'!J30:J34)+'Cash Flow'!J44+'Cash Flow'!J45)*'Cash Flow'!$O$72*(1/14.5)</f>
        <v>3017.0442579114347</v>
      </c>
      <c r="K8" s="10">
        <f>(SUM('Cash Flow'!K30:K34)+'Cash Flow'!K44+'Cash Flow'!K45)*'Cash Flow'!$O$72*(1/14.5)</f>
        <v>3154.7158320752665</v>
      </c>
      <c r="L8" s="10">
        <f>(SUM('Cash Flow'!L30:L34)+'Cash Flow'!L44+'Cash Flow'!L45)*'Cash Flow'!$O$72*(1/14.5)</f>
        <v>3296.9299650033668</v>
      </c>
      <c r="N8" s="18"/>
    </row>
    <row r="9" spans="2:14" x14ac:dyDescent="0.15">
      <c r="B9" s="53" t="s">
        <v>107</v>
      </c>
      <c r="C9" s="10">
        <f>('Cash Flow'!C41+'Cash Flow'!C42)*(1/14.5)</f>
        <v>0</v>
      </c>
      <c r="D9" s="10">
        <f>('Cash Flow'!D41+'Cash Flow'!D42)*(1/14.5)</f>
        <v>0</v>
      </c>
      <c r="E9" s="10">
        <f>('Cash Flow'!E41+'Cash Flow'!E42)*(1/14.5)</f>
        <v>67915.517241379304</v>
      </c>
      <c r="F9" s="10">
        <f>('Cash Flow'!F41+'Cash Flow'!F42)*(1/14.5)</f>
        <v>0</v>
      </c>
      <c r="G9" s="10">
        <f>('Cash Flow'!G41+'Cash Flow'!G42)*(1/14.5)</f>
        <v>0</v>
      </c>
      <c r="H9" s="10">
        <f>('Cash Flow'!H41+'Cash Flow'!H42)*(1/14.5)</f>
        <v>0</v>
      </c>
      <c r="I9" s="10">
        <f>('Cash Flow'!I41+'Cash Flow'!I42)*(1/14.5)</f>
        <v>0</v>
      </c>
      <c r="J9" s="10">
        <f>('Cash Flow'!J41+'Cash Flow'!J42)*(1/14.5)</f>
        <v>0</v>
      </c>
      <c r="K9" s="10">
        <f>('Cash Flow'!K41+'Cash Flow'!K42)*(1/14.5)</f>
        <v>0</v>
      </c>
      <c r="L9" s="10">
        <f>('Cash Flow'!L41+'Cash Flow'!L42)*(1/14.5)</f>
        <v>0</v>
      </c>
      <c r="N9" s="12">
        <f>N8*14.5</f>
        <v>0</v>
      </c>
    </row>
    <row r="10" spans="2:14" x14ac:dyDescent="0.15">
      <c r="B10" s="53" t="s">
        <v>108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f>L7+('Cash Flow'!L36+'Cash Flow'!L37+'Cash Flow'!L47-'Cash Flow'!L55)*'Cash Flow'!$O$72*(1/14.5)</f>
        <v>85262.938505611193</v>
      </c>
    </row>
    <row r="11" spans="2:14" x14ac:dyDescent="0.15">
      <c r="B11" s="51" t="s">
        <v>109</v>
      </c>
      <c r="C11" s="52">
        <f>MAX(C7-C9-C10,0)</f>
        <v>100000</v>
      </c>
      <c r="D11" s="52">
        <f t="shared" ref="D11:L11" si="1">MAX(D7-D9-D10,0)</f>
        <v>100000</v>
      </c>
      <c r="E11" s="52">
        <f t="shared" si="1"/>
        <v>32084.482758620696</v>
      </c>
      <c r="F11" s="52">
        <f t="shared" si="1"/>
        <v>32084.482758620696</v>
      </c>
      <c r="G11" s="52">
        <f t="shared" si="1"/>
        <v>32084.482758620696</v>
      </c>
      <c r="H11" s="52">
        <f t="shared" si="1"/>
        <v>32084.482758620696</v>
      </c>
      <c r="I11" s="52">
        <f t="shared" si="1"/>
        <v>32084.482758620696</v>
      </c>
      <c r="J11" s="52">
        <f t="shared" si="1"/>
        <v>32084.482758620696</v>
      </c>
      <c r="K11" s="52">
        <f t="shared" si="1"/>
        <v>32084.482758620696</v>
      </c>
      <c r="L11" s="52">
        <f t="shared" si="1"/>
        <v>0</v>
      </c>
    </row>
    <row r="12" spans="2:14" x14ac:dyDescent="0.15">
      <c r="L12" s="12"/>
    </row>
    <row r="13" spans="2:14" x14ac:dyDescent="0.15">
      <c r="B13" s="2" t="s">
        <v>110</v>
      </c>
      <c r="C13" s="18">
        <f>-C7</f>
        <v>-100000</v>
      </c>
      <c r="D13" s="18">
        <f>SUM(D8:D10)</f>
        <v>1915.7862596090492</v>
      </c>
      <c r="E13" s="18">
        <f t="shared" ref="E13:L13" si="2">SUM(E8:E10)</f>
        <v>69841.570730915846</v>
      </c>
      <c r="F13" s="18">
        <f t="shared" si="2"/>
        <v>2043.0317966808445</v>
      </c>
      <c r="G13" s="18">
        <f t="shared" si="2"/>
        <v>2386.5743833404454</v>
      </c>
      <c r="H13" s="18">
        <f t="shared" si="2"/>
        <v>2511.4424137567567</v>
      </c>
      <c r="I13" s="18">
        <f t="shared" si="2"/>
        <v>2640.4451096901139</v>
      </c>
      <c r="J13" s="18">
        <f t="shared" si="2"/>
        <v>3017.0442579114347</v>
      </c>
      <c r="K13" s="18">
        <f t="shared" si="2"/>
        <v>3154.7158320752665</v>
      </c>
      <c r="L13" s="18">
        <f t="shared" si="2"/>
        <v>88559.868470614558</v>
      </c>
    </row>
    <row r="14" spans="2:14" x14ac:dyDescent="0.15">
      <c r="B14" s="2" t="s">
        <v>111</v>
      </c>
      <c r="D14" s="11">
        <f>D8/D7</f>
        <v>1.9157862596090491E-2</v>
      </c>
      <c r="E14" s="11">
        <f>E8/E11</f>
        <v>6.0030685363598013E-2</v>
      </c>
      <c r="F14" s="11">
        <f>F8/F11</f>
        <v>6.3676631848830656E-2</v>
      </c>
      <c r="G14" s="11">
        <f>G8/G11</f>
        <v>7.438406912448052E-2</v>
      </c>
      <c r="H14" s="11">
        <f>H8/H11</f>
        <v>7.8275920252507847E-2</v>
      </c>
      <c r="I14" s="11">
        <f>I8/I11</f>
        <v>8.2296639455116657E-2</v>
      </c>
      <c r="J14" s="11">
        <f>J8/J11</f>
        <v>9.4034374205418436E-2</v>
      </c>
      <c r="K14" s="11">
        <f>K8/K11</f>
        <v>9.8325282530154989E-2</v>
      </c>
      <c r="L14" s="11">
        <f>L8/L7</f>
        <v>0.10275777202976798</v>
      </c>
    </row>
    <row r="15" spans="2:14" x14ac:dyDescent="0.15">
      <c r="B15" s="2" t="s">
        <v>6</v>
      </c>
      <c r="C15" s="15">
        <f>IRR(C13:L13,1)</f>
        <v>0.11432724500750835</v>
      </c>
    </row>
    <row r="16" spans="2:14" x14ac:dyDescent="0.15">
      <c r="B16" s="2" t="s">
        <v>112</v>
      </c>
      <c r="C16" s="12">
        <f>SUM(D13:L13)/-C13</f>
        <v>1.7607047925459431</v>
      </c>
    </row>
    <row r="22" spans="2:12" ht="14" thickBot="1" x14ac:dyDescent="0.2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2:12" x14ac:dyDescent="0.15">
      <c r="B23" s="2" t="s">
        <v>113</v>
      </c>
      <c r="C23" s="2"/>
    </row>
    <row r="24" spans="2:12" x14ac:dyDescent="0.15">
      <c r="B24" s="2"/>
      <c r="C24" s="2"/>
    </row>
    <row r="25" spans="2:12" x14ac:dyDescent="0.15">
      <c r="C25" s="23">
        <v>2022</v>
      </c>
      <c r="D25" s="23">
        <v>2023</v>
      </c>
      <c r="E25" s="23">
        <v>2024</v>
      </c>
      <c r="F25" s="23">
        <v>2025</v>
      </c>
      <c r="G25" s="23">
        <v>2026</v>
      </c>
      <c r="H25" s="23">
        <v>2027</v>
      </c>
      <c r="I25" s="23">
        <v>2028</v>
      </c>
      <c r="J25" s="23">
        <v>2029</v>
      </c>
      <c r="K25" s="23">
        <v>2030</v>
      </c>
      <c r="L25" s="23">
        <v>2031</v>
      </c>
    </row>
    <row r="26" spans="2:12" x14ac:dyDescent="0.15">
      <c r="C26" s="9">
        <v>1</v>
      </c>
      <c r="D26" s="9">
        <v>2</v>
      </c>
      <c r="E26" s="9">
        <v>3</v>
      </c>
      <c r="F26" s="9">
        <v>4</v>
      </c>
      <c r="G26" s="9">
        <v>5</v>
      </c>
      <c r="H26" s="9">
        <v>6</v>
      </c>
      <c r="I26" s="9">
        <v>7</v>
      </c>
      <c r="J26" s="9">
        <v>8</v>
      </c>
      <c r="K26" s="9">
        <v>9</v>
      </c>
      <c r="L26" s="9">
        <v>10</v>
      </c>
    </row>
    <row r="27" spans="2:12" x14ac:dyDescent="0.15">
      <c r="B27" s="22"/>
      <c r="D27" s="8"/>
      <c r="G27" s="5"/>
      <c r="H27" s="5"/>
      <c r="I27" s="5"/>
      <c r="J27" s="5"/>
      <c r="K27" s="5"/>
    </row>
    <row r="28" spans="2:12" x14ac:dyDescent="0.15">
      <c r="B28" s="51" t="s">
        <v>105</v>
      </c>
      <c r="C28" s="52">
        <f>C7*14.5</f>
        <v>1450000</v>
      </c>
      <c r="D28" s="52">
        <f t="shared" ref="D28:L28" si="3">D7*14.5</f>
        <v>1450000</v>
      </c>
      <c r="E28" s="52">
        <f t="shared" si="3"/>
        <v>1450000</v>
      </c>
      <c r="F28" s="52">
        <f t="shared" si="3"/>
        <v>465225.00000000012</v>
      </c>
      <c r="G28" s="52">
        <f t="shared" si="3"/>
        <v>465225.00000000012</v>
      </c>
      <c r="H28" s="52">
        <f t="shared" si="3"/>
        <v>465225.00000000012</v>
      </c>
      <c r="I28" s="52">
        <f t="shared" si="3"/>
        <v>465225.00000000012</v>
      </c>
      <c r="J28" s="52">
        <f t="shared" si="3"/>
        <v>465225.00000000012</v>
      </c>
      <c r="K28" s="52">
        <f t="shared" si="3"/>
        <v>465225.00000000012</v>
      </c>
      <c r="L28" s="52">
        <f t="shared" si="3"/>
        <v>465225.00000000012</v>
      </c>
    </row>
    <row r="29" spans="2:12" x14ac:dyDescent="0.15">
      <c r="B29" s="53" t="s">
        <v>106</v>
      </c>
      <c r="C29" s="10">
        <f>C8*14.5</f>
        <v>0</v>
      </c>
      <c r="D29" s="10">
        <f t="shared" ref="D29:L29" si="4">D8*14.5</f>
        <v>27778.900764331214</v>
      </c>
      <c r="E29" s="10">
        <f t="shared" si="4"/>
        <v>27927.775598279892</v>
      </c>
      <c r="F29" s="10">
        <f t="shared" si="4"/>
        <v>29623.961051872247</v>
      </c>
      <c r="G29" s="10">
        <f t="shared" si="4"/>
        <v>34605.328558436457</v>
      </c>
      <c r="H29" s="10">
        <f t="shared" si="4"/>
        <v>36415.914999472974</v>
      </c>
      <c r="I29" s="10">
        <f t="shared" si="4"/>
        <v>38286.454090506653</v>
      </c>
      <c r="J29" s="10">
        <f t="shared" si="4"/>
        <v>43747.1417397158</v>
      </c>
      <c r="K29" s="10">
        <f t="shared" si="4"/>
        <v>45743.379565091367</v>
      </c>
      <c r="L29" s="10">
        <f t="shared" si="4"/>
        <v>47805.484492548821</v>
      </c>
    </row>
    <row r="30" spans="2:12" x14ac:dyDescent="0.15">
      <c r="B30" s="53" t="s">
        <v>107</v>
      </c>
      <c r="C30" s="10">
        <f t="shared" ref="C30:L31" si="5">C9*14.5</f>
        <v>0</v>
      </c>
      <c r="D30" s="10">
        <f t="shared" si="5"/>
        <v>0</v>
      </c>
      <c r="E30" s="10">
        <f t="shared" si="5"/>
        <v>984774.99999999988</v>
      </c>
      <c r="F30" s="10">
        <f t="shared" si="5"/>
        <v>0</v>
      </c>
      <c r="G30" s="10">
        <f t="shared" si="5"/>
        <v>0</v>
      </c>
      <c r="H30" s="10">
        <f t="shared" si="5"/>
        <v>0</v>
      </c>
      <c r="I30" s="10">
        <f t="shared" si="5"/>
        <v>0</v>
      </c>
      <c r="J30" s="10">
        <f t="shared" si="5"/>
        <v>0</v>
      </c>
      <c r="K30" s="10">
        <f t="shared" si="5"/>
        <v>0</v>
      </c>
      <c r="L30" s="10">
        <f t="shared" si="5"/>
        <v>0</v>
      </c>
    </row>
    <row r="31" spans="2:12" x14ac:dyDescent="0.15">
      <c r="B31" s="53" t="s">
        <v>108</v>
      </c>
      <c r="C31" s="10">
        <f t="shared" si="5"/>
        <v>0</v>
      </c>
      <c r="D31" s="10">
        <f t="shared" si="5"/>
        <v>0</v>
      </c>
      <c r="E31" s="10">
        <f t="shared" si="5"/>
        <v>0</v>
      </c>
      <c r="F31" s="10">
        <f t="shared" si="5"/>
        <v>0</v>
      </c>
      <c r="G31" s="10">
        <f t="shared" si="5"/>
        <v>0</v>
      </c>
      <c r="H31" s="10">
        <f t="shared" si="5"/>
        <v>0</v>
      </c>
      <c r="I31" s="10">
        <f t="shared" si="5"/>
        <v>0</v>
      </c>
      <c r="J31" s="10">
        <f t="shared" si="5"/>
        <v>0</v>
      </c>
      <c r="K31" s="10">
        <f t="shared" si="5"/>
        <v>0</v>
      </c>
      <c r="L31" s="10">
        <f t="shared" si="5"/>
        <v>1236312.6083313623</v>
      </c>
    </row>
    <row r="32" spans="2:12" x14ac:dyDescent="0.15">
      <c r="B32" s="51" t="s">
        <v>109</v>
      </c>
      <c r="C32" s="52">
        <f>MAX(C28-C30-C31,0)</f>
        <v>1450000</v>
      </c>
      <c r="D32" s="52">
        <f t="shared" ref="D32" si="6">MAX(D28-D30-D31,0)</f>
        <v>1450000</v>
      </c>
      <c r="E32" s="52">
        <f t="shared" ref="E32" si="7">MAX(E28-E30-E31,0)</f>
        <v>465225.00000000012</v>
      </c>
      <c r="F32" s="52">
        <f t="shared" ref="F32" si="8">MAX(F28-F30-F31,0)</f>
        <v>465225.00000000012</v>
      </c>
      <c r="G32" s="52">
        <f t="shared" ref="G32" si="9">MAX(G28-G30-G31,0)</f>
        <v>465225.00000000012</v>
      </c>
      <c r="H32" s="52">
        <f t="shared" ref="H32" si="10">MAX(H28-H30-H31,0)</f>
        <v>465225.00000000012</v>
      </c>
      <c r="I32" s="52">
        <f t="shared" ref="I32" si="11">MAX(I28-I30-I31,0)</f>
        <v>465225.00000000012</v>
      </c>
      <c r="J32" s="52">
        <f t="shared" ref="J32" si="12">MAX(J28-J30-J31,0)</f>
        <v>465225.00000000012</v>
      </c>
      <c r="K32" s="52">
        <f t="shared" ref="K32" si="13">MAX(K28-K30-K31,0)</f>
        <v>465225.00000000012</v>
      </c>
      <c r="L32" s="52">
        <f t="shared" ref="L32" si="14">MAX(L28-L30-L31,0)</f>
        <v>0</v>
      </c>
    </row>
    <row r="33" spans="2:12" x14ac:dyDescent="0.15">
      <c r="L33" s="12"/>
    </row>
    <row r="34" spans="2:12" x14ac:dyDescent="0.15">
      <c r="B34" s="2" t="s">
        <v>110</v>
      </c>
      <c r="C34" s="18">
        <f>-C28</f>
        <v>-1450000</v>
      </c>
      <c r="D34" s="18">
        <f>SUM(D29:D31)</f>
        <v>27778.900764331214</v>
      </c>
      <c r="E34" s="18">
        <f t="shared" ref="E34:L34" si="15">SUM(E29:E31)</f>
        <v>1012702.7755982798</v>
      </c>
      <c r="F34" s="18">
        <f t="shared" si="15"/>
        <v>29623.961051872247</v>
      </c>
      <c r="G34" s="18">
        <f t="shared" si="15"/>
        <v>34605.328558436457</v>
      </c>
      <c r="H34" s="18">
        <f t="shared" si="15"/>
        <v>36415.914999472974</v>
      </c>
      <c r="I34" s="18">
        <f t="shared" si="15"/>
        <v>38286.454090506653</v>
      </c>
      <c r="J34" s="18">
        <f t="shared" si="15"/>
        <v>43747.1417397158</v>
      </c>
      <c r="K34" s="18">
        <f t="shared" si="15"/>
        <v>45743.379565091367</v>
      </c>
      <c r="L34" s="18">
        <f t="shared" si="15"/>
        <v>1284118.092823911</v>
      </c>
    </row>
    <row r="35" spans="2:12" x14ac:dyDescent="0.15">
      <c r="B35" s="2" t="s">
        <v>111</v>
      </c>
      <c r="D35" s="11">
        <f>D29/D28</f>
        <v>1.9157862596090494E-2</v>
      </c>
      <c r="E35" s="11">
        <f>E29/E32</f>
        <v>6.0030685363598013E-2</v>
      </c>
      <c r="F35" s="11">
        <f>F29/F32</f>
        <v>6.3676631848830656E-2</v>
      </c>
      <c r="G35" s="11">
        <f>G29/G32</f>
        <v>7.438406912448052E-2</v>
      </c>
      <c r="H35" s="11">
        <f>H29/H32</f>
        <v>7.8275920252507847E-2</v>
      </c>
      <c r="I35" s="11">
        <f>I29/I32</f>
        <v>8.2296639455116644E-2</v>
      </c>
      <c r="J35" s="11">
        <f>J29/J32</f>
        <v>9.4034374205418436E-2</v>
      </c>
      <c r="K35" s="11">
        <f>K29/K32</f>
        <v>9.8325282530154989E-2</v>
      </c>
      <c r="L35" s="11">
        <f>L29/L28</f>
        <v>0.10275777202976798</v>
      </c>
    </row>
    <row r="36" spans="2:12" x14ac:dyDescent="0.15">
      <c r="B36" s="2" t="s">
        <v>6</v>
      </c>
      <c r="C36" s="15">
        <f>IRR(C34:L34,1)</f>
        <v>0.1143272450075874</v>
      </c>
    </row>
    <row r="37" spans="2:12" x14ac:dyDescent="0.15">
      <c r="B37" s="2" t="s">
        <v>112</v>
      </c>
      <c r="C37" s="12">
        <f>SUM(D34:L34)/-C34</f>
        <v>1.7607047925459429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Cash Flow</vt:lpstr>
      <vt:lpstr>Sample Investment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Zampardo</dc:creator>
  <cp:lastModifiedBy>Ryan Zampardo</cp:lastModifiedBy>
  <dcterms:created xsi:type="dcterms:W3CDTF">2016-08-11T20:16:25Z</dcterms:created>
  <dcterms:modified xsi:type="dcterms:W3CDTF">2021-12-08T20:38:35Z</dcterms:modified>
</cp:coreProperties>
</file>