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almeru/Downloads/"/>
    </mc:Choice>
  </mc:AlternateContent>
  <xr:revisionPtr revIDLastSave="0" documentId="8_{4B031F18-7A4F-F54E-9654-342AC0A7CC07}" xr6:coauthVersionLast="47" xr6:coauthVersionMax="47" xr10:uidLastSave="{00000000-0000-0000-0000-000000000000}"/>
  <bookViews>
    <workbookView xWindow="1080" yWindow="1260" windowWidth="27640" windowHeight="16400" xr2:uid="{E2997FC2-D33F-424E-8E65-D829315E61C9}"/>
  </bookViews>
  <sheets>
    <sheet name="Answer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6" i="1" l="1"/>
  <c r="E101" i="1" s="1"/>
  <c r="E93" i="1"/>
  <c r="E97" i="1" s="1"/>
  <c r="E102" i="1" s="1"/>
  <c r="E74" i="1"/>
  <c r="F74" i="1" s="1"/>
  <c r="E67" i="1"/>
  <c r="F67" i="1" s="1"/>
  <c r="E46" i="1"/>
  <c r="E47" i="1" s="1"/>
  <c r="D60" i="1" s="1"/>
  <c r="E60" i="1" s="1"/>
  <c r="E33" i="1"/>
  <c r="E25" i="1"/>
  <c r="E16" i="1"/>
  <c r="E7" i="1"/>
  <c r="F60" i="1" l="1"/>
  <c r="E61" i="1"/>
  <c r="F68" i="1"/>
  <c r="G67" i="1"/>
  <c r="F75" i="1"/>
  <c r="G74" i="1"/>
  <c r="E68" i="1"/>
  <c r="E75" i="1"/>
  <c r="G75" i="1" l="1"/>
  <c r="H74" i="1"/>
  <c r="G68" i="1"/>
  <c r="H67" i="1"/>
  <c r="F61" i="1"/>
  <c r="G60" i="1"/>
  <c r="H60" i="1" l="1"/>
  <c r="G61" i="1"/>
  <c r="I67" i="1"/>
  <c r="H68" i="1"/>
  <c r="H75" i="1"/>
  <c r="I74" i="1"/>
  <c r="I75" i="1" l="1"/>
  <c r="J74" i="1"/>
  <c r="J75" i="1" s="1"/>
  <c r="D76" i="1" s="1"/>
  <c r="E80" i="1" s="1"/>
  <c r="E81" i="1" s="1"/>
  <c r="I68" i="1"/>
  <c r="J67" i="1"/>
  <c r="J68" i="1" s="1"/>
  <c r="D69" i="1" s="1"/>
  <c r="I60" i="1"/>
  <c r="H61" i="1"/>
  <c r="I61" i="1" l="1"/>
  <c r="J60" i="1"/>
  <c r="J61" i="1" s="1"/>
  <c r="D62" i="1" s="1"/>
  <c r="D80" i="1" s="1"/>
  <c r="D81" i="1" s="1"/>
</calcChain>
</file>

<file path=xl/sharedStrings.xml><?xml version="1.0" encoding="utf-8"?>
<sst xmlns="http://schemas.openxmlformats.org/spreadsheetml/2006/main" count="119" uniqueCount="87">
  <si>
    <t>a. What is value of debt?</t>
  </si>
  <si>
    <t>In $US millions</t>
  </si>
  <si>
    <t>Cash and Equivalents</t>
  </si>
  <si>
    <t>Key assumptions:</t>
  </si>
  <si>
    <t>Short-term Debt</t>
  </si>
  <si>
    <t>All cash and cash equivalents are availbale to offset debt.</t>
  </si>
  <si>
    <t>Long-Term Debt</t>
  </si>
  <si>
    <t>Operational liabilities like accounts payable and deferred revenue are assumed non-interest-bearing liabilities and are excluded.</t>
  </si>
  <si>
    <t>Net Debt</t>
  </si>
  <si>
    <t>Based on 2016 data without projecting future changes.</t>
  </si>
  <si>
    <t>$22.8 billion</t>
  </si>
  <si>
    <t>Both short-term and long-term debts are assumed to be interest-bearing liabilities and are included in the calculation.</t>
  </si>
  <si>
    <t>Note:</t>
  </si>
  <si>
    <t>Merger valuation of Time Warner’s total enterprise value was $108.7 billion with $85.4 billion equity value. It gives us 23.3 billion Net Debt for Time Warner which is $500 million higher than we estimated.</t>
  </si>
  <si>
    <t>This might be due to the fact that Time Warner's balance sheet numbers are not exactly timed with the announcements</t>
  </si>
  <si>
    <t>b. What is the equity value?</t>
  </si>
  <si>
    <t>Enterprice value</t>
  </si>
  <si>
    <t>Net debt</t>
  </si>
  <si>
    <t>AT&amp;T agreed to buy Time Warner’s total equity for $85.4 billion</t>
  </si>
  <si>
    <t>Equity value</t>
  </si>
  <si>
    <t>Formula:</t>
  </si>
  <si>
    <t>$85.9 billion</t>
  </si>
  <si>
    <t>V=D+E</t>
  </si>
  <si>
    <t>What is the cost of equity?</t>
  </si>
  <si>
    <t>Risk-Free Rate</t>
  </si>
  <si>
    <t>Beta</t>
  </si>
  <si>
    <t>Market Risk Premium</t>
  </si>
  <si>
    <t>Cost of Equity</t>
  </si>
  <si>
    <t>What is your WACC for the Time Warner DCF valuation?</t>
  </si>
  <si>
    <t>Weight of Debt</t>
  </si>
  <si>
    <t>Weight of Equity</t>
  </si>
  <si>
    <t>Tax rate is 35%</t>
  </si>
  <si>
    <t>Cost of Debt</t>
  </si>
  <si>
    <t>Cost of debt is 3.5%</t>
  </si>
  <si>
    <t>Tax Rate</t>
  </si>
  <si>
    <t>WACC</t>
  </si>
  <si>
    <t>Develop  two DCF valuation  Exhibits for Time Waner.  Calculate  free cash flow  to the  to the enterprise for Time Warner and develop an intrinsic valuation (share price)  based on</t>
  </si>
  <si>
    <t>FCF (2016) Inputs (in $ millions)</t>
  </si>
  <si>
    <t>EBIT</t>
  </si>
  <si>
    <t>Tax rate</t>
  </si>
  <si>
    <t>EBIT(1-T)</t>
  </si>
  <si>
    <t>Depreciation &amp; Amortization</t>
  </si>
  <si>
    <t>Capital Expenditure</t>
  </si>
  <si>
    <t>Working Capital 2016</t>
  </si>
  <si>
    <t>Working Capital 2015</t>
  </si>
  <si>
    <t>Change in NWC</t>
  </si>
  <si>
    <t>FCF</t>
  </si>
  <si>
    <t>s</t>
  </si>
  <si>
    <t>Optimistic Growth rate</t>
  </si>
  <si>
    <t>Realistic Growth rate</t>
  </si>
  <si>
    <t>Pessimistic Growth rate</t>
  </si>
  <si>
    <t>Terminal Growth rate</t>
  </si>
  <si>
    <t>We use WACC as discount factor</t>
  </si>
  <si>
    <t>a.</t>
  </si>
  <si>
    <t>Optimistic Scenario</t>
  </si>
  <si>
    <t>Year 0</t>
  </si>
  <si>
    <t>Year 1</t>
  </si>
  <si>
    <t>Year 2</t>
  </si>
  <si>
    <t>Year 3</t>
  </si>
  <si>
    <t>Year 4</t>
  </si>
  <si>
    <t>Year 5</t>
  </si>
  <si>
    <t>TV</t>
  </si>
  <si>
    <t>PV(FCF)</t>
  </si>
  <si>
    <t>Total</t>
  </si>
  <si>
    <t>Realistic Scenario</t>
  </si>
  <si>
    <t>Pessimistic Scenario</t>
  </si>
  <si>
    <t>#shrs outstanding (in millions)</t>
  </si>
  <si>
    <t>Optimistic (in $ million)</t>
  </si>
  <si>
    <t>Pessimistic (in $ million)</t>
  </si>
  <si>
    <t>FCFE</t>
  </si>
  <si>
    <t>Intrinsic value</t>
  </si>
  <si>
    <t>Develop an Intrinsic valuation range exhibit using the Multiple of Major Competitors in the Media Industry – Exhibit 7 of the case . Develop ranges based on PE ratio as well as EV/EBITDA ratio . State your assumptions.</t>
  </si>
  <si>
    <t>Industry Average</t>
  </si>
  <si>
    <t>P/E Ratio</t>
  </si>
  <si>
    <t>EV/EBITDA</t>
  </si>
  <si>
    <t>Key Assumptions:</t>
  </si>
  <si>
    <t>Entertainment Division (Warner Bros.)</t>
  </si>
  <si>
    <t>Operations of Time Warner is comprised of Entertainment Division and Channels&amp;Network Division. In 2016, Entertainment Division contributed 43% of Revenue and 24% of EBITDA.</t>
  </si>
  <si>
    <t>Channels and Network Division  (Turner and HBO)</t>
  </si>
  <si>
    <t>Thus, we'll assume contribution of Entertainment Division and Channels and Network Division to Revenue is about 45% and 55%, respectivly; to EBITDA 25% and 75% respectively.</t>
  </si>
  <si>
    <t>Earnings (NI)</t>
  </si>
  <si>
    <t>D&amp;A</t>
  </si>
  <si>
    <t>EBITDA</t>
  </si>
  <si>
    <t>EV by P/E approach</t>
  </si>
  <si>
    <t>EV by E/V approach</t>
  </si>
  <si>
    <t>#shares</t>
  </si>
  <si>
    <t xml:space="preserve">Intrinsic Value Range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</si>
</sst>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scheme val="minor"/>
    </font>
    <font>
      <sz val="10"/>
      <color rgb="FF000000"/>
      <name val="Aptos Narrow"/>
      <family val="2"/>
      <scheme val="minor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4">
    <xf numFmtId="0" fontId="0" fillId="0" borderId="0" xfId="0">
      <alignment vertical="center"/>
    </xf>
    <xf numFmtId="0" fontId="2" fillId="0" borderId="0" xfId="1" applyFont="1" applyAlignment="1">
      <alignment horizontal="right"/>
    </xf>
    <xf numFmtId="0" fontId="2" fillId="0" borderId="0" xfId="1" applyFont="1"/>
    <xf numFmtId="3" fontId="2" fillId="0" borderId="0" xfId="1" applyNumberFormat="1" applyFont="1"/>
    <xf numFmtId="0" fontId="3" fillId="0" borderId="0" xfId="1" applyFont="1"/>
    <xf numFmtId="0" fontId="4" fillId="0" borderId="0" xfId="1" applyFont="1"/>
    <xf numFmtId="0" fontId="4" fillId="0" borderId="0" xfId="1" applyFont="1" applyAlignment="1">
      <alignment horizontal="right"/>
    </xf>
    <xf numFmtId="0" fontId="2" fillId="0" borderId="0" xfId="1" applyFont="1" applyAlignment="1">
      <alignment horizontal="left"/>
    </xf>
    <xf numFmtId="10" fontId="2" fillId="0" borderId="0" xfId="1" applyNumberFormat="1" applyFont="1" applyAlignment="1">
      <alignment horizontal="right"/>
    </xf>
    <xf numFmtId="0" fontId="5" fillId="0" borderId="0" xfId="0" applyFont="1">
      <alignment vertical="center"/>
    </xf>
    <xf numFmtId="9" fontId="2" fillId="0" borderId="0" xfId="1" applyNumberFormat="1" applyFont="1" applyAlignment="1">
      <alignment horizontal="right"/>
    </xf>
    <xf numFmtId="10" fontId="4" fillId="0" borderId="0" xfId="1" applyNumberFormat="1" applyFont="1" applyAlignment="1">
      <alignment horizontal="right"/>
    </xf>
    <xf numFmtId="0" fontId="2" fillId="0" borderId="1" xfId="1" applyFont="1" applyBorder="1" applyAlignment="1">
      <alignment horizontal="left"/>
    </xf>
    <xf numFmtId="9" fontId="2" fillId="0" borderId="1" xfId="1" applyNumberFormat="1" applyFont="1" applyBorder="1" applyAlignment="1">
      <alignment horizontal="right"/>
    </xf>
    <xf numFmtId="0" fontId="4" fillId="0" borderId="0" xfId="1" applyFont="1" applyAlignment="1">
      <alignment horizontal="left"/>
    </xf>
    <xf numFmtId="0" fontId="2" fillId="0" borderId="2" xfId="1" applyFont="1" applyBorder="1"/>
    <xf numFmtId="0" fontId="6" fillId="0" borderId="2" xfId="1" applyFont="1" applyBorder="1"/>
    <xf numFmtId="3" fontId="2" fillId="0" borderId="0" xfId="1" applyNumberFormat="1" applyFont="1" applyAlignment="1">
      <alignment horizontal="right"/>
    </xf>
    <xf numFmtId="4" fontId="2" fillId="0" borderId="0" xfId="1" applyNumberFormat="1" applyFont="1"/>
    <xf numFmtId="3" fontId="2" fillId="0" borderId="1" xfId="1" applyNumberFormat="1" applyFont="1" applyBorder="1" applyAlignment="1">
      <alignment horizontal="right"/>
    </xf>
    <xf numFmtId="4" fontId="4" fillId="0" borderId="0" xfId="1" applyNumberFormat="1" applyFont="1"/>
    <xf numFmtId="1" fontId="4" fillId="0" borderId="0" xfId="1" applyNumberFormat="1" applyFont="1"/>
    <xf numFmtId="2" fontId="2" fillId="0" borderId="0" xfId="1" applyNumberFormat="1" applyFont="1" applyAlignment="1">
      <alignment horizontal="right"/>
    </xf>
    <xf numFmtId="2" fontId="4" fillId="0" borderId="0" xfId="1" applyNumberFormat="1" applyFont="1"/>
  </cellXfs>
  <cellStyles count="2">
    <cellStyle name="Normal" xfId="0" builtinId="0"/>
    <cellStyle name="Normal 3" xfId="1" xr:uid="{9AF5E713-2912-3D44-B885-4184D88C53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21</xdr:row>
      <xdr:rowOff>0</xdr:rowOff>
    </xdr:from>
    <xdr:to>
      <xdr:col>10</xdr:col>
      <xdr:colOff>123128</xdr:colOff>
      <xdr:row>23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AEA143-3E67-3B4E-9C52-0FED369BF2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7300" y="4000500"/>
          <a:ext cx="3704528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32</xdr:row>
      <xdr:rowOff>0</xdr:rowOff>
    </xdr:from>
    <xdr:ext cx="2903963" cy="662104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F4A47B61-5D41-6849-A12A-C5AA772A9A5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607300" y="6096000"/>
          <a:ext cx="2903963" cy="662104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7</xdr:col>
      <xdr:colOff>0</xdr:colOff>
      <xdr:row>39</xdr:row>
      <xdr:rowOff>0</xdr:rowOff>
    </xdr:from>
    <xdr:to>
      <xdr:col>11</xdr:col>
      <xdr:colOff>383323</xdr:colOff>
      <xdr:row>42</xdr:row>
      <xdr:rowOff>59320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E19B1F-90DF-CF4C-BF05-489D162BD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1200" y="7429500"/>
          <a:ext cx="4193323" cy="630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</xdr:colOff>
      <xdr:row>43</xdr:row>
      <xdr:rowOff>0</xdr:rowOff>
    </xdr:from>
    <xdr:to>
      <xdr:col>9</xdr:col>
      <xdr:colOff>394940</xdr:colOff>
      <xdr:row>46</xdr:row>
      <xdr:rowOff>156408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04BB2C5-1822-7B4F-A5D4-B39A11E45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1201" y="8191500"/>
          <a:ext cx="2299939" cy="7279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</xdr:colOff>
      <xdr:row>47</xdr:row>
      <xdr:rowOff>0</xdr:rowOff>
    </xdr:from>
    <xdr:to>
      <xdr:col>10</xdr:col>
      <xdr:colOff>480317</xdr:colOff>
      <xdr:row>54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70D9B19-28F7-0E47-B284-61E608257C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1201" y="8953500"/>
          <a:ext cx="3337816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C1996-7B45-4D4C-A721-2A23F06B31FB}">
  <sheetPr>
    <outlinePr summaryBelow="0" summaryRight="0"/>
  </sheetPr>
  <dimension ref="B3:J102"/>
  <sheetViews>
    <sheetView tabSelected="1" topLeftCell="A52" zoomScale="76" zoomScaleNormal="82" workbookViewId="0">
      <selection activeCell="D57" sqref="D57"/>
    </sheetView>
  </sheetViews>
  <sheetFormatPr baseColWidth="10" defaultColWidth="12.5" defaultRowHeight="15.75" customHeight="1" x14ac:dyDescent="0.2"/>
  <cols>
    <col min="1" max="3" width="12.5" style="2"/>
    <col min="4" max="4" width="26.83203125" style="2" bestFit="1" customWidth="1"/>
    <col min="5" max="5" width="23" style="2" bestFit="1" customWidth="1"/>
    <col min="6" max="6" width="12.5" style="2"/>
    <col min="7" max="7" width="9.5" style="2" customWidth="1"/>
    <col min="8" max="16384" width="12.5" style="2"/>
  </cols>
  <sheetData>
    <row r="3" spans="2:7" ht="15.75" customHeight="1" x14ac:dyDescent="0.2">
      <c r="B3" s="1">
        <v>1</v>
      </c>
      <c r="C3" s="2" t="s">
        <v>0</v>
      </c>
      <c r="E3" s="1" t="s">
        <v>1</v>
      </c>
    </row>
    <row r="4" spans="2:7" ht="15.75" customHeight="1" x14ac:dyDescent="0.2">
      <c r="D4" s="2" t="s">
        <v>2</v>
      </c>
      <c r="E4" s="3">
        <v>1539</v>
      </c>
      <c r="G4" s="4" t="s">
        <v>3</v>
      </c>
    </row>
    <row r="5" spans="2:7" ht="15.75" customHeight="1" x14ac:dyDescent="0.2">
      <c r="D5" s="2" t="s">
        <v>4</v>
      </c>
      <c r="E5" s="3">
        <v>1947</v>
      </c>
      <c r="G5" s="2" t="s">
        <v>5</v>
      </c>
    </row>
    <row r="6" spans="2:7" ht="15.75" customHeight="1" x14ac:dyDescent="0.2">
      <c r="D6" s="2" t="s">
        <v>6</v>
      </c>
      <c r="E6" s="3">
        <v>22392</v>
      </c>
      <c r="G6" s="2" t="s">
        <v>7</v>
      </c>
    </row>
    <row r="7" spans="2:7" ht="15.75" customHeight="1" x14ac:dyDescent="0.2">
      <c r="D7" s="5" t="s">
        <v>8</v>
      </c>
      <c r="E7" s="3">
        <f>E5+E6-E4</f>
        <v>22800</v>
      </c>
      <c r="G7" s="2" t="s">
        <v>9</v>
      </c>
    </row>
    <row r="8" spans="2:7" ht="15.75" customHeight="1" x14ac:dyDescent="0.2">
      <c r="E8" s="6" t="s">
        <v>10</v>
      </c>
      <c r="G8" s="2" t="s">
        <v>11</v>
      </c>
    </row>
    <row r="10" spans="2:7" ht="15.75" customHeight="1" x14ac:dyDescent="0.2">
      <c r="G10" s="4" t="s">
        <v>12</v>
      </c>
    </row>
    <row r="11" spans="2:7" ht="15.75" customHeight="1" x14ac:dyDescent="0.2">
      <c r="G11" s="2" t="s">
        <v>13</v>
      </c>
    </row>
    <row r="12" spans="2:7" ht="15.75" customHeight="1" x14ac:dyDescent="0.2">
      <c r="G12" s="2" t="s">
        <v>14</v>
      </c>
    </row>
    <row r="13" spans="2:7" ht="15.75" customHeight="1" x14ac:dyDescent="0.2">
      <c r="B13" s="1">
        <v>1</v>
      </c>
      <c r="C13" s="2" t="s">
        <v>15</v>
      </c>
      <c r="E13" s="1" t="s">
        <v>1</v>
      </c>
    </row>
    <row r="14" spans="2:7" ht="15.75" customHeight="1" x14ac:dyDescent="0.2">
      <c r="D14" s="2" t="s">
        <v>16</v>
      </c>
      <c r="E14" s="3">
        <v>108700</v>
      </c>
      <c r="G14" s="4" t="s">
        <v>12</v>
      </c>
    </row>
    <row r="15" spans="2:7" ht="15.75" customHeight="1" x14ac:dyDescent="0.2">
      <c r="D15" s="2" t="s">
        <v>17</v>
      </c>
      <c r="E15" s="3">
        <v>22800</v>
      </c>
      <c r="G15" s="2" t="s">
        <v>18</v>
      </c>
    </row>
    <row r="16" spans="2:7" ht="15.75" customHeight="1" x14ac:dyDescent="0.2">
      <c r="D16" s="5" t="s">
        <v>19</v>
      </c>
      <c r="E16" s="3">
        <f>E14-E15</f>
        <v>85900</v>
      </c>
      <c r="G16" s="4" t="s">
        <v>20</v>
      </c>
    </row>
    <row r="17" spans="2:7" ht="15.75" customHeight="1" x14ac:dyDescent="0.2">
      <c r="E17" s="6" t="s">
        <v>21</v>
      </c>
      <c r="G17" s="2" t="s">
        <v>22</v>
      </c>
    </row>
    <row r="20" spans="2:7" ht="15.75" customHeight="1" x14ac:dyDescent="0.2">
      <c r="B20" s="1">
        <v>2</v>
      </c>
      <c r="C20" s="2" t="s">
        <v>23</v>
      </c>
    </row>
    <row r="21" spans="2:7" ht="15.75" customHeight="1" x14ac:dyDescent="0.2">
      <c r="D21" s="4" t="s">
        <v>3</v>
      </c>
      <c r="G21" s="7" t="s">
        <v>20</v>
      </c>
    </row>
    <row r="22" spans="2:7" ht="15.75" customHeight="1" x14ac:dyDescent="0.2">
      <c r="D22" s="7" t="s">
        <v>24</v>
      </c>
      <c r="E22" s="8">
        <v>2.3099999999999999E-2</v>
      </c>
      <c r="G22" s="9"/>
    </row>
    <row r="23" spans="2:7" ht="15" x14ac:dyDescent="0.2">
      <c r="D23" s="7" t="s">
        <v>25</v>
      </c>
      <c r="E23" s="1">
        <v>1.9</v>
      </c>
    </row>
    <row r="24" spans="2:7" ht="15" x14ac:dyDescent="0.2">
      <c r="D24" s="7" t="s">
        <v>26</v>
      </c>
      <c r="E24" s="10">
        <v>0.05</v>
      </c>
    </row>
    <row r="25" spans="2:7" ht="15" x14ac:dyDescent="0.2">
      <c r="D25" s="5" t="s">
        <v>27</v>
      </c>
      <c r="E25" s="11">
        <f>E22+E23*E24</f>
        <v>0.1181</v>
      </c>
    </row>
    <row r="26" spans="2:7" ht="15" x14ac:dyDescent="0.2"/>
    <row r="27" spans="2:7" ht="15" x14ac:dyDescent="0.2">
      <c r="B27" s="1">
        <v>3</v>
      </c>
      <c r="C27" s="2" t="s">
        <v>28</v>
      </c>
    </row>
    <row r="28" spans="2:7" ht="15" x14ac:dyDescent="0.2">
      <c r="D28" s="7" t="s">
        <v>29</v>
      </c>
      <c r="E28" s="10">
        <v>0.21</v>
      </c>
      <c r="G28" s="4" t="s">
        <v>3</v>
      </c>
    </row>
    <row r="29" spans="2:7" ht="15" x14ac:dyDescent="0.2">
      <c r="D29" s="7" t="s">
        <v>30</v>
      </c>
      <c r="E29" s="10">
        <v>0.79</v>
      </c>
      <c r="G29" s="2" t="s">
        <v>31</v>
      </c>
    </row>
    <row r="30" spans="2:7" ht="15" x14ac:dyDescent="0.2">
      <c r="D30" s="7" t="s">
        <v>32</v>
      </c>
      <c r="E30" s="8">
        <v>3.5000000000000003E-2</v>
      </c>
      <c r="G30" s="2" t="s">
        <v>33</v>
      </c>
    </row>
    <row r="31" spans="2:7" ht="15" x14ac:dyDescent="0.2">
      <c r="D31" s="2" t="s">
        <v>27</v>
      </c>
      <c r="E31" s="8">
        <v>0.1181</v>
      </c>
    </row>
    <row r="32" spans="2:7" ht="15" x14ac:dyDescent="0.2">
      <c r="D32" s="12" t="s">
        <v>34</v>
      </c>
      <c r="E32" s="13">
        <v>0.35</v>
      </c>
      <c r="G32" s="7" t="s">
        <v>20</v>
      </c>
    </row>
    <row r="33" spans="2:8" ht="15" x14ac:dyDescent="0.2">
      <c r="D33" s="14" t="s">
        <v>35</v>
      </c>
      <c r="E33" s="11">
        <f>(1-E32)*E28*E30+E29*E31</f>
        <v>9.8076500000000011E-2</v>
      </c>
    </row>
    <row r="34" spans="2:8" ht="15" x14ac:dyDescent="0.2">
      <c r="D34" s="7"/>
      <c r="E34" s="1"/>
    </row>
    <row r="35" spans="2:8" ht="15" x14ac:dyDescent="0.2">
      <c r="D35" s="7"/>
      <c r="E35" s="1"/>
    </row>
    <row r="36" spans="2:8" ht="15" x14ac:dyDescent="0.2">
      <c r="D36" s="7"/>
      <c r="E36" s="1"/>
    </row>
    <row r="37" spans="2:8" ht="15" x14ac:dyDescent="0.2">
      <c r="B37" s="1">
        <v>4</v>
      </c>
      <c r="C37" s="2" t="s">
        <v>36</v>
      </c>
    </row>
    <row r="38" spans="2:8" ht="15" x14ac:dyDescent="0.2">
      <c r="D38" s="15" t="s">
        <v>37</v>
      </c>
      <c r="E38" s="16"/>
    </row>
    <row r="39" spans="2:8" ht="15" x14ac:dyDescent="0.2">
      <c r="D39" s="7" t="s">
        <v>38</v>
      </c>
      <c r="E39" s="17">
        <v>6583</v>
      </c>
      <c r="H39" s="4" t="s">
        <v>20</v>
      </c>
    </row>
    <row r="40" spans="2:8" ht="15" x14ac:dyDescent="0.2">
      <c r="D40" s="2" t="s">
        <v>39</v>
      </c>
      <c r="E40" s="10">
        <v>0.35</v>
      </c>
      <c r="H40" s="9"/>
    </row>
    <row r="41" spans="2:8" ht="15" x14ac:dyDescent="0.2">
      <c r="D41" s="2" t="s">
        <v>40</v>
      </c>
      <c r="E41" s="18">
        <v>4278.95</v>
      </c>
    </row>
    <row r="42" spans="2:8" ht="15" x14ac:dyDescent="0.2">
      <c r="D42" s="7" t="s">
        <v>41</v>
      </c>
      <c r="E42" s="1">
        <v>669</v>
      </c>
    </row>
    <row r="43" spans="2:8" ht="15" x14ac:dyDescent="0.2">
      <c r="D43" s="7" t="s">
        <v>42</v>
      </c>
      <c r="E43" s="1">
        <v>432</v>
      </c>
    </row>
    <row r="44" spans="2:8" ht="15" x14ac:dyDescent="0.2">
      <c r="D44" s="7" t="s">
        <v>43</v>
      </c>
      <c r="E44" s="17">
        <v>3782</v>
      </c>
      <c r="H44" s="9"/>
    </row>
    <row r="45" spans="2:8" ht="15" x14ac:dyDescent="0.2">
      <c r="D45" s="12" t="s">
        <v>44</v>
      </c>
      <c r="E45" s="19">
        <v>4511</v>
      </c>
    </row>
    <row r="46" spans="2:8" ht="15" x14ac:dyDescent="0.2">
      <c r="D46" s="2" t="s">
        <v>45</v>
      </c>
      <c r="E46" s="17">
        <f>E44-E45</f>
        <v>-729</v>
      </c>
    </row>
    <row r="47" spans="2:8" ht="15" x14ac:dyDescent="0.2">
      <c r="D47" s="2" t="s">
        <v>46</v>
      </c>
      <c r="E47" s="18">
        <f>E41+E42-E43-E46</f>
        <v>5244.95</v>
      </c>
    </row>
    <row r="48" spans="2:8" ht="15" x14ac:dyDescent="0.2">
      <c r="H48" s="9"/>
    </row>
    <row r="49" spans="3:10" ht="15" x14ac:dyDescent="0.2"/>
    <row r="50" spans="3:10" ht="15" x14ac:dyDescent="0.2"/>
    <row r="51" spans="3:10" ht="15" x14ac:dyDescent="0.2">
      <c r="I51" s="2" t="s">
        <v>47</v>
      </c>
    </row>
    <row r="52" spans="3:10" ht="15" x14ac:dyDescent="0.2">
      <c r="C52" s="1"/>
      <c r="D52" s="2" t="s">
        <v>48</v>
      </c>
      <c r="E52" s="10">
        <v>0.08</v>
      </c>
    </row>
    <row r="53" spans="3:10" ht="15" x14ac:dyDescent="0.2">
      <c r="D53" s="2" t="s">
        <v>49</v>
      </c>
      <c r="E53" s="10">
        <v>7.0000000000000007E-2</v>
      </c>
    </row>
    <row r="54" spans="3:10" ht="15" x14ac:dyDescent="0.2">
      <c r="D54" s="2" t="s">
        <v>50</v>
      </c>
      <c r="E54" s="10">
        <v>0.06</v>
      </c>
    </row>
    <row r="55" spans="3:10" ht="15" x14ac:dyDescent="0.2">
      <c r="C55" s="1"/>
      <c r="D55" s="2" t="s">
        <v>51</v>
      </c>
      <c r="E55" s="10">
        <v>0.03</v>
      </c>
      <c r="H55" s="2" t="s">
        <v>3</v>
      </c>
    </row>
    <row r="56" spans="3:10" ht="15" x14ac:dyDescent="0.2">
      <c r="D56" s="2" t="s">
        <v>35</v>
      </c>
      <c r="E56" s="8">
        <v>9.8100000000000007E-2</v>
      </c>
      <c r="H56" s="2" t="s">
        <v>52</v>
      </c>
    </row>
    <row r="57" spans="3:10" ht="15" x14ac:dyDescent="0.2"/>
    <row r="58" spans="3:10" ht="15" x14ac:dyDescent="0.2">
      <c r="C58" s="2" t="s">
        <v>53</v>
      </c>
      <c r="D58" s="2" t="s">
        <v>54</v>
      </c>
    </row>
    <row r="59" spans="3:10" ht="15" x14ac:dyDescent="0.2">
      <c r="C59" s="1"/>
      <c r="D59" s="2" t="s">
        <v>55</v>
      </c>
      <c r="E59" s="2" t="s">
        <v>56</v>
      </c>
      <c r="F59" s="2" t="s">
        <v>57</v>
      </c>
      <c r="G59" s="2" t="s">
        <v>58</v>
      </c>
      <c r="H59" s="2" t="s">
        <v>59</v>
      </c>
      <c r="I59" s="2" t="s">
        <v>60</v>
      </c>
      <c r="J59" s="2" t="s">
        <v>61</v>
      </c>
    </row>
    <row r="60" spans="3:10" ht="15" x14ac:dyDescent="0.2">
      <c r="C60" s="2" t="s">
        <v>46</v>
      </c>
      <c r="D60" s="18">
        <f>E47</f>
        <v>5244.95</v>
      </c>
      <c r="E60" s="18">
        <f>D60*(1+$E$52)</f>
        <v>5664.5460000000003</v>
      </c>
      <c r="F60" s="18">
        <f>(1+E52)*E60</f>
        <v>6117.7096800000008</v>
      </c>
      <c r="G60" s="18">
        <f>(1+E52)*F60</f>
        <v>6607.1264544000014</v>
      </c>
      <c r="H60" s="18">
        <f>(1+E52)*G60</f>
        <v>7135.6965707520021</v>
      </c>
      <c r="I60" s="18">
        <f>(1+E52)*H60</f>
        <v>7706.5522964121628</v>
      </c>
      <c r="J60" s="18">
        <f>I60*(1+$E$55)/($E$56-$E$55)</f>
        <v>116560.18891783446</v>
      </c>
    </row>
    <row r="61" spans="3:10" ht="15" x14ac:dyDescent="0.2">
      <c r="C61" s="2" t="s">
        <v>62</v>
      </c>
      <c r="E61" s="18">
        <f>E60/(1+$E$56)</f>
        <v>5158.4974046079587</v>
      </c>
      <c r="F61" s="18">
        <f>F60/(1+$E$56)^2</f>
        <v>5073.4698087392735</v>
      </c>
      <c r="G61" s="18">
        <f>G60/(1+$E$56)^3</f>
        <v>4989.8437241038291</v>
      </c>
      <c r="H61" s="18">
        <f>H60/(1+$E$56)^4</f>
        <v>4907.5960495693798</v>
      </c>
      <c r="I61" s="18">
        <f>I60/(1+$E$56)^5</f>
        <v>4826.7040647800104</v>
      </c>
      <c r="J61" s="18">
        <f>J60/(1+$E$56)^5</f>
        <v>73003.013020901766</v>
      </c>
    </row>
    <row r="62" spans="3:10" ht="15" x14ac:dyDescent="0.2">
      <c r="C62" s="5" t="s">
        <v>63</v>
      </c>
      <c r="D62" s="20">
        <f>SUM(E61:J61)</f>
        <v>97959.124072702223</v>
      </c>
    </row>
    <row r="63" spans="3:10" ht="15" x14ac:dyDescent="0.2"/>
    <row r="64" spans="3:10" ht="15" x14ac:dyDescent="0.2"/>
    <row r="65" spans="3:10" ht="15" x14ac:dyDescent="0.2">
      <c r="D65" s="2" t="s">
        <v>64</v>
      </c>
    </row>
    <row r="66" spans="3:10" ht="15" x14ac:dyDescent="0.2">
      <c r="D66" s="2" t="s">
        <v>55</v>
      </c>
      <c r="E66" s="2" t="s">
        <v>56</v>
      </c>
      <c r="F66" s="2" t="s">
        <v>57</v>
      </c>
      <c r="G66" s="2" t="s">
        <v>58</v>
      </c>
      <c r="H66" s="2" t="s">
        <v>59</v>
      </c>
      <c r="I66" s="2" t="s">
        <v>60</v>
      </c>
      <c r="J66" s="2" t="s">
        <v>61</v>
      </c>
    </row>
    <row r="67" spans="3:10" ht="15" x14ac:dyDescent="0.2">
      <c r="C67" s="2" t="s">
        <v>46</v>
      </c>
      <c r="D67" s="18">
        <v>5244.95</v>
      </c>
      <c r="E67" s="18">
        <f>D67*(1+$E$53)</f>
        <v>5612.0965000000006</v>
      </c>
      <c r="F67" s="18">
        <f>E67*(1+$E$53)</f>
        <v>6004.943255000001</v>
      </c>
      <c r="G67" s="18">
        <f t="shared" ref="G67:I67" si="0">F67*(1+$E$53)</f>
        <v>6425.2892828500017</v>
      </c>
      <c r="H67" s="18">
        <f t="shared" si="0"/>
        <v>6875.0595326495022</v>
      </c>
      <c r="I67" s="18">
        <f t="shared" si="0"/>
        <v>7356.3136999349681</v>
      </c>
      <c r="J67" s="18">
        <f>I67*(1+$E$55)/($E$56-$E$55)</f>
        <v>111262.89443367132</v>
      </c>
    </row>
    <row r="68" spans="3:10" ht="15" x14ac:dyDescent="0.2">
      <c r="C68" s="2" t="s">
        <v>62</v>
      </c>
      <c r="E68" s="18">
        <f>E67/(1+$E$56)</f>
        <v>5110.7335397504785</v>
      </c>
      <c r="F68" s="18">
        <f>F67/(1+$E$56)^2</f>
        <v>4979.9516323950565</v>
      </c>
      <c r="G68" s="18">
        <f>G67/(1+$E$56)^3</f>
        <v>4852.5163889105825</v>
      </c>
      <c r="H68" s="18">
        <f>H67/(1+$E$56)^4</f>
        <v>4728.3421693236714</v>
      </c>
      <c r="I68" s="18">
        <f>I67/(1+$E$56)^5</f>
        <v>4607.3455251582991</v>
      </c>
      <c r="J68" s="18">
        <f>J67/(1+$E$56)^5</f>
        <v>69685.255373172506</v>
      </c>
    </row>
    <row r="69" spans="3:10" ht="15" x14ac:dyDescent="0.2">
      <c r="C69" s="5" t="s">
        <v>63</v>
      </c>
      <c r="D69" s="20">
        <f>SUM(E68:J68)</f>
        <v>93964.144628710594</v>
      </c>
    </row>
    <row r="70" spans="3:10" ht="15" x14ac:dyDescent="0.2"/>
    <row r="71" spans="3:10" ht="15" x14ac:dyDescent="0.2"/>
    <row r="72" spans="3:10" ht="15" x14ac:dyDescent="0.2">
      <c r="D72" s="2" t="s">
        <v>65</v>
      </c>
    </row>
    <row r="73" spans="3:10" ht="15" x14ac:dyDescent="0.2">
      <c r="D73" s="2" t="s">
        <v>55</v>
      </c>
      <c r="E73" s="2" t="s">
        <v>56</v>
      </c>
      <c r="F73" s="2" t="s">
        <v>57</v>
      </c>
      <c r="G73" s="2" t="s">
        <v>58</v>
      </c>
      <c r="H73" s="2" t="s">
        <v>59</v>
      </c>
      <c r="I73" s="2" t="s">
        <v>60</v>
      </c>
      <c r="J73" s="2" t="s">
        <v>61</v>
      </c>
    </row>
    <row r="74" spans="3:10" ht="15" x14ac:dyDescent="0.2">
      <c r="C74" s="2" t="s">
        <v>46</v>
      </c>
      <c r="D74" s="18">
        <v>5244.95</v>
      </c>
      <c r="E74" s="18">
        <f>D74*(1+$E$54)</f>
        <v>5559.6469999999999</v>
      </c>
      <c r="F74" s="18">
        <f t="shared" ref="F74:I74" si="1">E74*(1+$E$54)</f>
        <v>5893.2258200000006</v>
      </c>
      <c r="G74" s="18">
        <f t="shared" si="1"/>
        <v>6246.8193692000013</v>
      </c>
      <c r="H74" s="18">
        <f t="shared" si="1"/>
        <v>6621.628531352002</v>
      </c>
      <c r="I74" s="18">
        <f t="shared" si="1"/>
        <v>7018.9262432331225</v>
      </c>
      <c r="J74" s="18">
        <f>I74*(1+$E$55)/($E$56-$E$55)</f>
        <v>106159.97107973737</v>
      </c>
    </row>
    <row r="75" spans="3:10" ht="15" x14ac:dyDescent="0.2">
      <c r="C75" s="2" t="s">
        <v>62</v>
      </c>
      <c r="E75" s="18">
        <f>E74/(1+$E$56)</f>
        <v>5062.9696748929964</v>
      </c>
      <c r="F75" s="18">
        <f>F74/(1+$E$56)^2</f>
        <v>4887.3033925749714</v>
      </c>
      <c r="G75" s="18">
        <f>G74/(1+$E$56)^3</f>
        <v>4717.7320791635284</v>
      </c>
      <c r="H75" s="18">
        <f>H74/(1+$E$56)^4</f>
        <v>4554.0442618280122</v>
      </c>
      <c r="I75" s="18">
        <f>I74/(1+$E$56)^5</f>
        <v>4396.0358050611894</v>
      </c>
      <c r="J75" s="18">
        <f>J74/(1+$E$56)^5</f>
        <v>66489.234643363059</v>
      </c>
    </row>
    <row r="76" spans="3:10" ht="15" x14ac:dyDescent="0.2">
      <c r="C76" s="5" t="s">
        <v>63</v>
      </c>
      <c r="D76" s="20">
        <f>SUM(E75:J75)</f>
        <v>90107.319856883754</v>
      </c>
    </row>
    <row r="77" spans="3:10" ht="15" x14ac:dyDescent="0.2"/>
    <row r="78" spans="3:10" ht="15" x14ac:dyDescent="0.2">
      <c r="C78" s="2" t="s">
        <v>66</v>
      </c>
      <c r="D78" s="1">
        <v>783.8</v>
      </c>
    </row>
    <row r="79" spans="3:10" ht="15" x14ac:dyDescent="0.2">
      <c r="D79" s="2" t="s">
        <v>67</v>
      </c>
      <c r="E79" s="2" t="s">
        <v>68</v>
      </c>
    </row>
    <row r="80" spans="3:10" ht="15" x14ac:dyDescent="0.2">
      <c r="C80" s="2" t="s">
        <v>69</v>
      </c>
      <c r="D80" s="18">
        <f>D62</f>
        <v>97959.124072702223</v>
      </c>
      <c r="E80" s="18">
        <f>D76</f>
        <v>90107.319856883754</v>
      </c>
    </row>
    <row r="81" spans="2:8" ht="15" x14ac:dyDescent="0.2">
      <c r="C81" s="5" t="s">
        <v>70</v>
      </c>
      <c r="D81" s="21">
        <f>D80/D78</f>
        <v>124.97974492562163</v>
      </c>
      <c r="E81" s="21">
        <f>E80/D78</f>
        <v>114.96213301465139</v>
      </c>
    </row>
    <row r="82" spans="2:8" ht="15" x14ac:dyDescent="0.2"/>
    <row r="83" spans="2:8" ht="15" x14ac:dyDescent="0.2"/>
    <row r="84" spans="2:8" ht="15" x14ac:dyDescent="0.2">
      <c r="B84" s="1">
        <v>5</v>
      </c>
      <c r="C84" s="2" t="s">
        <v>71</v>
      </c>
    </row>
    <row r="85" spans="2:8" ht="15" x14ac:dyDescent="0.2"/>
    <row r="86" spans="2:8" ht="15" x14ac:dyDescent="0.2">
      <c r="C86" s="2" t="s">
        <v>72</v>
      </c>
      <c r="E86" s="2" t="s">
        <v>73</v>
      </c>
      <c r="F86" s="2" t="s">
        <v>74</v>
      </c>
      <c r="H86" s="4" t="s">
        <v>75</v>
      </c>
    </row>
    <row r="87" spans="2:8" ht="15" x14ac:dyDescent="0.2">
      <c r="C87" s="2" t="s">
        <v>76</v>
      </c>
      <c r="E87" s="1">
        <v>15.82</v>
      </c>
      <c r="F87" s="1">
        <v>9.83</v>
      </c>
      <c r="H87" s="2" t="s">
        <v>77</v>
      </c>
    </row>
    <row r="88" spans="2:8" ht="15" x14ac:dyDescent="0.2">
      <c r="C88" s="2" t="s">
        <v>78</v>
      </c>
      <c r="E88" s="1">
        <v>12.25</v>
      </c>
      <c r="F88" s="1">
        <v>6.47</v>
      </c>
      <c r="H88" s="2" t="s">
        <v>79</v>
      </c>
    </row>
    <row r="89" spans="2:8" ht="15" x14ac:dyDescent="0.2"/>
    <row r="90" spans="2:8" ht="15" x14ac:dyDescent="0.2">
      <c r="D90" s="2" t="s">
        <v>80</v>
      </c>
      <c r="E90" s="17">
        <v>3925</v>
      </c>
    </row>
    <row r="91" spans="2:8" ht="15" x14ac:dyDescent="0.2">
      <c r="D91" s="7" t="s">
        <v>38</v>
      </c>
      <c r="E91" s="17">
        <v>6583</v>
      </c>
    </row>
    <row r="92" spans="2:8" ht="15" x14ac:dyDescent="0.2">
      <c r="D92" s="2" t="s">
        <v>81</v>
      </c>
      <c r="E92" s="1">
        <v>669</v>
      </c>
    </row>
    <row r="93" spans="2:8" ht="15" x14ac:dyDescent="0.2">
      <c r="D93" s="2" t="s">
        <v>82</v>
      </c>
      <c r="E93" s="17">
        <f>E92+E91</f>
        <v>7252</v>
      </c>
    </row>
    <row r="94" spans="2:8" ht="15" x14ac:dyDescent="0.2"/>
    <row r="95" spans="2:8" ht="15" x14ac:dyDescent="0.2"/>
    <row r="96" spans="2:8" ht="15" x14ac:dyDescent="0.2">
      <c r="D96" s="2" t="s">
        <v>83</v>
      </c>
      <c r="E96" s="22">
        <f>(0.45*E87+0.55*E88)*E90</f>
        <v>54386.762500000004</v>
      </c>
    </row>
    <row r="97" spans="4:5" ht="15" x14ac:dyDescent="0.2">
      <c r="D97" s="2" t="s">
        <v>84</v>
      </c>
      <c r="E97" s="1">
        <f>(0.25*F87+0.75*F88)*E93</f>
        <v>53012.12</v>
      </c>
    </row>
    <row r="98" spans="4:5" ht="15" x14ac:dyDescent="0.2"/>
    <row r="99" spans="4:5" ht="15" x14ac:dyDescent="0.2">
      <c r="D99" s="2" t="s">
        <v>85</v>
      </c>
      <c r="E99" s="1">
        <v>783.8</v>
      </c>
    </row>
    <row r="100" spans="4:5" ht="15" x14ac:dyDescent="0.2"/>
    <row r="101" spans="4:5" ht="15" x14ac:dyDescent="0.2">
      <c r="D101" s="5" t="s">
        <v>86</v>
      </c>
      <c r="E101" s="23">
        <f>E96/E99</f>
        <v>69.388571701964793</v>
      </c>
    </row>
    <row r="102" spans="4:5" ht="15.75" customHeight="1" x14ac:dyDescent="0.2">
      <c r="D102" s="5"/>
      <c r="E102" s="23">
        <f>E97/E99</f>
        <v>67.634753763715239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Balgabek, Meruyert</dc:creator>
  <cp:lastModifiedBy>Balgabek, Meruyert</cp:lastModifiedBy>
  <dcterms:created xsi:type="dcterms:W3CDTF">2025-06-20T09:01:18Z</dcterms:created>
  <dcterms:modified xsi:type="dcterms:W3CDTF">2025-06-20T09:01:39Z</dcterms:modified>
</cp:coreProperties>
</file>