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almeru\Downloads\"/>
    </mc:Choice>
  </mc:AlternateContent>
  <xr:revisionPtr revIDLastSave="0" documentId="13_ncr:1_{6389E0BA-C476-48D3-9E11-68F208B17BD7}" xr6:coauthVersionLast="47" xr6:coauthVersionMax="47" xr10:uidLastSave="{00000000-0000-0000-0000-000000000000}"/>
  <bookViews>
    <workbookView xWindow="-120" yWindow="-120" windowWidth="20730" windowHeight="11160" xr2:uid="{018DF47F-DAA7-3740-9C94-345B5C632716}"/>
  </bookViews>
  <sheets>
    <sheet name="Prices" sheetId="1" r:id="rId1"/>
    <sheet name="Fama-French " sheetId="2" r:id="rId2"/>
    <sheet name="Returns &amp; Exc. Returns" sheetId="3" r:id="rId3"/>
    <sheet name="CAPM Regressions " sheetId="4" r:id="rId4"/>
    <sheet name="Portfolio Construction" sheetId="5" r:id="rId5"/>
    <sheet name="FF3 Regression" sheetId="6" r:id="rId6"/>
    <sheet name="Data Computations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1" i="7" l="1"/>
  <c r="M90" i="7"/>
  <c r="Q89" i="7"/>
  <c r="Q88" i="7"/>
  <c r="Q87" i="7"/>
  <c r="Q86" i="7"/>
  <c r="Q85" i="7"/>
  <c r="M86" i="7"/>
  <c r="M85" i="7"/>
  <c r="P89" i="7"/>
  <c r="P88" i="7"/>
  <c r="P87" i="7"/>
  <c r="P86" i="7"/>
  <c r="P85" i="7"/>
  <c r="Q31" i="7"/>
  <c r="Q27" i="7"/>
  <c r="Q28" i="7"/>
  <c r="Q29" i="7"/>
  <c r="Q30" i="7"/>
  <c r="Q26" i="7"/>
  <c r="P30" i="7"/>
  <c r="M31" i="7"/>
  <c r="B48" i="5"/>
  <c r="B47" i="5"/>
  <c r="B46" i="5"/>
  <c r="B45" i="5"/>
  <c r="B39" i="5"/>
  <c r="J27" i="5"/>
  <c r="G27" i="5"/>
  <c r="I16" i="5"/>
  <c r="E16" i="5"/>
  <c r="B7" i="5"/>
  <c r="M64" i="7"/>
  <c r="M65" i="7"/>
  <c r="N65" i="7"/>
  <c r="N64" i="7" s="1"/>
  <c r="M82" i="7"/>
  <c r="M81" i="7"/>
  <c r="M79" i="7"/>
  <c r="M80" i="7"/>
  <c r="M78" i="7"/>
  <c r="P82" i="7" l="1"/>
  <c r="Q78" i="7" s="1"/>
  <c r="P81" i="7"/>
  <c r="M73" i="7"/>
  <c r="M72" i="7"/>
  <c r="M71" i="7"/>
  <c r="M70" i="7"/>
  <c r="M69" i="7"/>
  <c r="M68" i="7"/>
  <c r="M27" i="7"/>
  <c r="N27" i="7" s="1"/>
  <c r="M28" i="7"/>
  <c r="N28" i="7" s="1"/>
  <c r="M29" i="7"/>
  <c r="N29" i="7" s="1"/>
  <c r="M30" i="7"/>
  <c r="N30" i="7" s="1"/>
  <c r="N31" i="7"/>
  <c r="M26" i="7"/>
  <c r="N26" i="7" s="1"/>
  <c r="B33" i="5"/>
  <c r="B32" i="5"/>
  <c r="R16" i="5"/>
  <c r="Q16" i="5"/>
  <c r="P16" i="5"/>
  <c r="M23" i="5"/>
  <c r="M16" i="5"/>
  <c r="D16" i="5"/>
  <c r="H16" i="5"/>
  <c r="E3" i="3"/>
  <c r="I27" i="5"/>
  <c r="L17" i="5"/>
  <c r="L18" i="5"/>
  <c r="L19" i="5"/>
  <c r="L16" i="5"/>
  <c r="K20" i="5"/>
  <c r="L20" i="5" s="1"/>
  <c r="K19" i="5"/>
  <c r="K18" i="5"/>
  <c r="K17" i="5"/>
  <c r="K16" i="5"/>
  <c r="J16" i="5"/>
  <c r="C20" i="5"/>
  <c r="C19" i="5"/>
  <c r="C18" i="5"/>
  <c r="C17" i="5"/>
  <c r="C16" i="5"/>
  <c r="B17" i="5"/>
  <c r="D17" i="5" s="1"/>
  <c r="E17" i="5" s="1"/>
  <c r="B18" i="5"/>
  <c r="D18" i="5" s="1"/>
  <c r="E18" i="5" s="1"/>
  <c r="B19" i="5"/>
  <c r="D19" i="5" s="1"/>
  <c r="E19" i="5" s="1"/>
  <c r="B20" i="5"/>
  <c r="G20" i="5" s="1"/>
  <c r="B16" i="5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4" i="7"/>
  <c r="D4" i="7" s="1"/>
  <c r="J17" i="5"/>
  <c r="J18" i="5"/>
  <c r="J19" i="5"/>
  <c r="J20" i="5"/>
  <c r="D3" i="3"/>
  <c r="B3" i="3"/>
  <c r="B8" i="5"/>
  <c r="K12" i="3"/>
  <c r="K13" i="3"/>
  <c r="K15" i="3"/>
  <c r="K20" i="3"/>
  <c r="K21" i="3"/>
  <c r="K23" i="3"/>
  <c r="K28" i="3"/>
  <c r="K29" i="3"/>
  <c r="K31" i="3"/>
  <c r="K36" i="3"/>
  <c r="K37" i="3"/>
  <c r="K39" i="3"/>
  <c r="K44" i="3"/>
  <c r="K45" i="3"/>
  <c r="K47" i="3"/>
  <c r="K52" i="3"/>
  <c r="K53" i="3"/>
  <c r="K55" i="3"/>
  <c r="K60" i="3"/>
  <c r="K61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J13" i="3"/>
  <c r="J14" i="3"/>
  <c r="K14" i="3" s="1"/>
  <c r="J15" i="3"/>
  <c r="J16" i="3"/>
  <c r="K16" i="3" s="1"/>
  <c r="J17" i="3"/>
  <c r="K17" i="3" s="1"/>
  <c r="J18" i="3"/>
  <c r="K18" i="3" s="1"/>
  <c r="J19" i="3"/>
  <c r="K19" i="3" s="1"/>
  <c r="J20" i="3"/>
  <c r="J21" i="3"/>
  <c r="J22" i="3"/>
  <c r="K22" i="3" s="1"/>
  <c r="J23" i="3"/>
  <c r="J24" i="3"/>
  <c r="K24" i="3" s="1"/>
  <c r="J25" i="3"/>
  <c r="K25" i="3" s="1"/>
  <c r="J26" i="3"/>
  <c r="K26" i="3" s="1"/>
  <c r="J27" i="3"/>
  <c r="K27" i="3" s="1"/>
  <c r="J28" i="3"/>
  <c r="J29" i="3"/>
  <c r="J30" i="3"/>
  <c r="K30" i="3" s="1"/>
  <c r="J31" i="3"/>
  <c r="J32" i="3"/>
  <c r="K32" i="3" s="1"/>
  <c r="J33" i="3"/>
  <c r="K33" i="3" s="1"/>
  <c r="J34" i="3"/>
  <c r="K34" i="3" s="1"/>
  <c r="J35" i="3"/>
  <c r="K35" i="3" s="1"/>
  <c r="J36" i="3"/>
  <c r="J37" i="3"/>
  <c r="J38" i="3"/>
  <c r="K38" i="3" s="1"/>
  <c r="J39" i="3"/>
  <c r="J40" i="3"/>
  <c r="K40" i="3" s="1"/>
  <c r="J41" i="3"/>
  <c r="K41" i="3" s="1"/>
  <c r="J42" i="3"/>
  <c r="K42" i="3" s="1"/>
  <c r="J43" i="3"/>
  <c r="K43" i="3" s="1"/>
  <c r="J44" i="3"/>
  <c r="J45" i="3"/>
  <c r="J46" i="3"/>
  <c r="K46" i="3" s="1"/>
  <c r="J47" i="3"/>
  <c r="J48" i="3"/>
  <c r="K48" i="3" s="1"/>
  <c r="J49" i="3"/>
  <c r="K49" i="3" s="1"/>
  <c r="J50" i="3"/>
  <c r="K50" i="3" s="1"/>
  <c r="J51" i="3"/>
  <c r="K51" i="3" s="1"/>
  <c r="J52" i="3"/>
  <c r="J53" i="3"/>
  <c r="J54" i="3"/>
  <c r="K54" i="3" s="1"/>
  <c r="J55" i="3"/>
  <c r="J56" i="3"/>
  <c r="K56" i="3" s="1"/>
  <c r="J57" i="3"/>
  <c r="K57" i="3" s="1"/>
  <c r="J58" i="3"/>
  <c r="K58" i="3" s="1"/>
  <c r="J59" i="3"/>
  <c r="K59" i="3" s="1"/>
  <c r="J60" i="3"/>
  <c r="J61" i="3"/>
  <c r="J62" i="3"/>
  <c r="K62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3" i="3"/>
  <c r="J3" i="3"/>
  <c r="K3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3" i="3"/>
  <c r="C3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Q79" i="7" l="1"/>
  <c r="N32" i="7"/>
  <c r="G19" i="5"/>
  <c r="H19" i="5" s="1"/>
  <c r="I19" i="5" s="1"/>
  <c r="M19" i="5" s="1"/>
  <c r="G16" i="5"/>
  <c r="D20" i="5"/>
  <c r="E20" i="5" s="1"/>
  <c r="G18" i="5"/>
  <c r="H18" i="5" s="1"/>
  <c r="I18" i="5" s="1"/>
  <c r="M18" i="5" s="1"/>
  <c r="G17" i="5"/>
  <c r="H17" i="5" s="1"/>
  <c r="I17" i="5" s="1"/>
  <c r="M17" i="5" s="1"/>
  <c r="H20" i="5"/>
  <c r="I20" i="5" s="1"/>
  <c r="M20" i="5" s="1"/>
  <c r="O29" i="7" l="1"/>
  <c r="O31" i="7"/>
  <c r="O26" i="7"/>
  <c r="O28" i="7"/>
  <c r="O30" i="7"/>
  <c r="O27" i="7"/>
  <c r="N20" i="5"/>
  <c r="O32" i="7" l="1"/>
  <c r="N16" i="5"/>
  <c r="N18" i="5"/>
  <c r="N19" i="5"/>
  <c r="N17" i="5"/>
  <c r="P19" i="5" l="1"/>
  <c r="Q19" i="5"/>
  <c r="Q17" i="5"/>
  <c r="P17" i="5"/>
  <c r="Q18" i="5"/>
  <c r="P18" i="5"/>
  <c r="P20" i="5"/>
  <c r="Q20" i="5"/>
  <c r="O16" i="5"/>
  <c r="N23" i="5"/>
  <c r="O20" i="5"/>
  <c r="R20" i="5" s="1"/>
  <c r="O17" i="5"/>
  <c r="R17" i="5" s="1"/>
  <c r="O19" i="5"/>
  <c r="R19" i="5" s="1"/>
  <c r="O18" i="5"/>
  <c r="R18" i="5" s="1"/>
  <c r="Q23" i="5" l="1"/>
  <c r="C27" i="5" s="1"/>
  <c r="P23" i="5"/>
  <c r="B27" i="5" s="1"/>
  <c r="R23" i="5"/>
  <c r="D27" i="5" s="1"/>
  <c r="O23" i="5"/>
  <c r="E27" i="5" l="1"/>
  <c r="B31" i="5" s="1"/>
  <c r="B34" i="5" s="1"/>
  <c r="B35" i="5" l="1"/>
  <c r="E2" i="6"/>
  <c r="B42" i="5"/>
  <c r="H2" i="6" s="1"/>
  <c r="B41" i="5"/>
  <c r="G2" i="6" s="1"/>
  <c r="B40" i="5"/>
  <c r="F2" i="6" s="1"/>
  <c r="B43" i="5"/>
  <c r="I2" i="6" s="1"/>
  <c r="B44" i="5" l="1"/>
  <c r="B49" i="5"/>
  <c r="C44" i="5" l="1"/>
  <c r="B2" i="6"/>
  <c r="J5" i="6" s="1"/>
  <c r="J64" i="6" l="1"/>
  <c r="E63" i="7" s="1"/>
  <c r="F63" i="7" s="1"/>
  <c r="J13" i="6"/>
  <c r="E12" i="7" s="1"/>
  <c r="F12" i="7" s="1"/>
  <c r="J21" i="6"/>
  <c r="E20" i="7" s="1"/>
  <c r="F20" i="7" s="1"/>
  <c r="J29" i="6"/>
  <c r="E28" i="7" s="1"/>
  <c r="F28" i="7" s="1"/>
  <c r="J37" i="6"/>
  <c r="E36" i="7" s="1"/>
  <c r="F36" i="7" s="1"/>
  <c r="J45" i="6"/>
  <c r="E44" i="7" s="1"/>
  <c r="F44" i="7" s="1"/>
  <c r="J53" i="6"/>
  <c r="E52" i="7" s="1"/>
  <c r="F52" i="7" s="1"/>
  <c r="J61" i="6"/>
  <c r="E60" i="7" s="1"/>
  <c r="F60" i="7" s="1"/>
  <c r="J16" i="6"/>
  <c r="E15" i="7" s="1"/>
  <c r="F15" i="7" s="1"/>
  <c r="E4" i="7"/>
  <c r="J9" i="6"/>
  <c r="E8" i="7" s="1"/>
  <c r="J33" i="6"/>
  <c r="E32" i="7" s="1"/>
  <c r="F32" i="7" s="1"/>
  <c r="J41" i="6"/>
  <c r="E40" i="7" s="1"/>
  <c r="F40" i="7" s="1"/>
  <c r="J2" i="6"/>
  <c r="J6" i="6"/>
  <c r="E5" i="7" s="1"/>
  <c r="F5" i="7" s="1"/>
  <c r="J14" i="6"/>
  <c r="E13" i="7" s="1"/>
  <c r="F13" i="7" s="1"/>
  <c r="J22" i="6"/>
  <c r="E21" i="7" s="1"/>
  <c r="F21" i="7" s="1"/>
  <c r="J30" i="6"/>
  <c r="E29" i="7" s="1"/>
  <c r="F29" i="7" s="1"/>
  <c r="J38" i="6"/>
  <c r="E37" i="7" s="1"/>
  <c r="F37" i="7" s="1"/>
  <c r="J46" i="6"/>
  <c r="E45" i="7" s="1"/>
  <c r="F45" i="7" s="1"/>
  <c r="J54" i="6"/>
  <c r="E53" i="7" s="1"/>
  <c r="F53" i="7" s="1"/>
  <c r="J62" i="6"/>
  <c r="E61" i="7" s="1"/>
  <c r="F61" i="7" s="1"/>
  <c r="J8" i="6"/>
  <c r="E7" i="7" s="1"/>
  <c r="F7" i="7" s="1"/>
  <c r="J32" i="6"/>
  <c r="E31" i="7" s="1"/>
  <c r="F31" i="7" s="1"/>
  <c r="J40" i="6"/>
  <c r="E39" i="7" s="1"/>
  <c r="F39" i="7" s="1"/>
  <c r="J56" i="6"/>
  <c r="E55" i="7" s="1"/>
  <c r="F55" i="7" s="1"/>
  <c r="J17" i="6"/>
  <c r="E16" i="7" s="1"/>
  <c r="F16" i="7" s="1"/>
  <c r="J49" i="6"/>
  <c r="E48" i="7" s="1"/>
  <c r="F48" i="7" s="1"/>
  <c r="J11" i="6"/>
  <c r="E10" i="7" s="1"/>
  <c r="F10" i="7" s="1"/>
  <c r="J51" i="6"/>
  <c r="E50" i="7" s="1"/>
  <c r="F50" i="7" s="1"/>
  <c r="J59" i="6"/>
  <c r="E58" i="7" s="1"/>
  <c r="F58" i="7" s="1"/>
  <c r="J28" i="6"/>
  <c r="E27" i="7" s="1"/>
  <c r="F27" i="7" s="1"/>
  <c r="J36" i="6"/>
  <c r="E35" i="7" s="1"/>
  <c r="F35" i="7" s="1"/>
  <c r="J44" i="6"/>
  <c r="E43" i="7" s="1"/>
  <c r="F43" i="7" s="1"/>
  <c r="J52" i="6"/>
  <c r="E51" i="7" s="1"/>
  <c r="F51" i="7" s="1"/>
  <c r="J60" i="6"/>
  <c r="E59" i="7" s="1"/>
  <c r="F59" i="7" s="1"/>
  <c r="J7" i="6"/>
  <c r="E6" i="7" s="1"/>
  <c r="F6" i="7" s="1"/>
  <c r="J15" i="6"/>
  <c r="E14" i="7" s="1"/>
  <c r="F14" i="7" s="1"/>
  <c r="J23" i="6"/>
  <c r="E22" i="7" s="1"/>
  <c r="F22" i="7" s="1"/>
  <c r="J31" i="6"/>
  <c r="E30" i="7" s="1"/>
  <c r="F30" i="7" s="1"/>
  <c r="J39" i="6"/>
  <c r="E38" i="7" s="1"/>
  <c r="F38" i="7" s="1"/>
  <c r="J47" i="6"/>
  <c r="E46" i="7" s="1"/>
  <c r="F46" i="7" s="1"/>
  <c r="J55" i="6"/>
  <c r="E54" i="7" s="1"/>
  <c r="F54" i="7" s="1"/>
  <c r="J63" i="6"/>
  <c r="E62" i="7" s="1"/>
  <c r="F62" i="7" s="1"/>
  <c r="J24" i="6"/>
  <c r="E23" i="7" s="1"/>
  <c r="F23" i="7" s="1"/>
  <c r="J25" i="6"/>
  <c r="E24" i="7" s="1"/>
  <c r="F24" i="7" s="1"/>
  <c r="J57" i="6"/>
  <c r="E56" i="7" s="1"/>
  <c r="F56" i="7" s="1"/>
  <c r="J19" i="6"/>
  <c r="E18" i="7" s="1"/>
  <c r="F18" i="7" s="1"/>
  <c r="J48" i="6"/>
  <c r="E47" i="7" s="1"/>
  <c r="F47" i="7" s="1"/>
  <c r="J20" i="6"/>
  <c r="E19" i="7" s="1"/>
  <c r="F19" i="7" s="1"/>
  <c r="J10" i="6"/>
  <c r="E9" i="7" s="1"/>
  <c r="F9" i="7" s="1"/>
  <c r="J18" i="6"/>
  <c r="E17" i="7" s="1"/>
  <c r="F17" i="7" s="1"/>
  <c r="J26" i="6"/>
  <c r="E25" i="7" s="1"/>
  <c r="F25" i="7" s="1"/>
  <c r="J34" i="6"/>
  <c r="E33" i="7" s="1"/>
  <c r="F33" i="7" s="1"/>
  <c r="J42" i="6"/>
  <c r="E41" i="7" s="1"/>
  <c r="F41" i="7" s="1"/>
  <c r="J50" i="6"/>
  <c r="E49" i="7" s="1"/>
  <c r="F49" i="7" s="1"/>
  <c r="J58" i="6"/>
  <c r="E57" i="7" s="1"/>
  <c r="F57" i="7" s="1"/>
  <c r="J27" i="6"/>
  <c r="E26" i="7" s="1"/>
  <c r="F26" i="7" s="1"/>
  <c r="J35" i="6"/>
  <c r="E34" i="7" s="1"/>
  <c r="F34" i="7" s="1"/>
  <c r="J43" i="6"/>
  <c r="E42" i="7" s="1"/>
  <c r="F42" i="7" s="1"/>
  <c r="J12" i="6"/>
  <c r="E11" i="7" s="1"/>
  <c r="F11" i="7" s="1"/>
  <c r="Q69" i="7" l="1"/>
  <c r="Q68" i="7"/>
  <c r="R2" i="7"/>
  <c r="G4" i="7" s="1"/>
  <c r="H4" i="7" s="1"/>
  <c r="F4" i="7"/>
  <c r="F8" i="7"/>
  <c r="Q71" i="7" l="1"/>
  <c r="M74" i="7" s="1"/>
  <c r="Q70" i="7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G56" i="7"/>
  <c r="G11" i="7"/>
  <c r="G20" i="7"/>
  <c r="G19" i="7"/>
  <c r="G39" i="7"/>
  <c r="G55" i="7"/>
  <c r="G57" i="7"/>
  <c r="G22" i="7"/>
  <c r="G12" i="7"/>
  <c r="G40" i="7"/>
  <c r="G38" i="7"/>
  <c r="G45" i="7"/>
  <c r="G32" i="7"/>
  <c r="G44" i="7"/>
  <c r="G6" i="7"/>
  <c r="G53" i="7"/>
  <c r="G36" i="7"/>
  <c r="G13" i="7"/>
  <c r="G25" i="7"/>
  <c r="G18" i="7"/>
  <c r="G48" i="7"/>
  <c r="G21" i="7"/>
  <c r="G16" i="7"/>
  <c r="G23" i="7"/>
  <c r="G41" i="7"/>
  <c r="G35" i="7"/>
  <c r="G31" i="7"/>
  <c r="G14" i="7"/>
  <c r="G29" i="7"/>
  <c r="G60" i="7"/>
  <c r="G28" i="7"/>
  <c r="G37" i="7"/>
  <c r="G5" i="7"/>
  <c r="H5" i="7" s="1"/>
  <c r="G49" i="7"/>
  <c r="G63" i="7"/>
  <c r="G43" i="7"/>
  <c r="G8" i="7"/>
  <c r="G10" i="7"/>
  <c r="G30" i="7"/>
  <c r="G50" i="7"/>
  <c r="G7" i="7"/>
  <c r="G59" i="7"/>
  <c r="G42" i="7"/>
  <c r="G61" i="7"/>
  <c r="G15" i="7"/>
  <c r="G17" i="7"/>
  <c r="G27" i="7"/>
  <c r="G58" i="7"/>
  <c r="G33" i="7"/>
  <c r="G46" i="7"/>
  <c r="G47" i="7"/>
  <c r="G26" i="7"/>
  <c r="G54" i="7"/>
  <c r="G9" i="7"/>
  <c r="G34" i="7"/>
  <c r="G52" i="7"/>
  <c r="G62" i="7"/>
  <c r="G24" i="7"/>
  <c r="G51" i="7"/>
  <c r="H6" i="7" l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</calcChain>
</file>

<file path=xl/sharedStrings.xml><?xml version="1.0" encoding="utf-8"?>
<sst xmlns="http://schemas.openxmlformats.org/spreadsheetml/2006/main" count="614" uniqueCount="175">
  <si>
    <t>Date</t>
  </si>
  <si>
    <t>MSFT</t>
  </si>
  <si>
    <t>JNJ</t>
  </si>
  <si>
    <t>VZ</t>
  </si>
  <si>
    <t>Mkt-RF</t>
  </si>
  <si>
    <t>SMB</t>
  </si>
  <si>
    <t>HML</t>
  </si>
  <si>
    <t>RF</t>
  </si>
  <si>
    <t>KO</t>
  </si>
  <si>
    <t xml:space="preserve">Return </t>
  </si>
  <si>
    <t xml:space="preserve">Exc. Return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</si>
  <si>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</si>
  <si>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</si>
  <si>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</si>
  <si>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</si>
  <si>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</si>
  <si>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</si>
  <si>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</si>
  <si>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</si>
  <si>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</si>
  <si>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</si>
  <si>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</si>
  <si>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</si>
  <si>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</si>
  <si>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</si>
  <si>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</si>
  <si>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</si>
  <si>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</si>
  <si>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</si>
  <si>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</si>
  <si>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</si>
  <si>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</si>
  <si>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</si>
  <si>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</si>
  <si>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</si>
  <si>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Input Data</t>
  </si>
  <si>
    <t>CAPM Regression</t>
  </si>
  <si>
    <t xml:space="preserve">Calculations </t>
  </si>
  <si>
    <t>Market Portfolio:</t>
  </si>
  <si>
    <t>Exp. Risk Premium (A)</t>
  </si>
  <si>
    <t>Exp. Risk Premium (M)</t>
  </si>
  <si>
    <t>Variance</t>
  </si>
  <si>
    <t xml:space="preserve">Forecast Exc Returns </t>
  </si>
  <si>
    <t xml:space="preserve">Expectation for market risk premium. Exc Mrket Return Annually </t>
  </si>
  <si>
    <t>Selected Stocks:</t>
  </si>
  <si>
    <t>Annual</t>
  </si>
  <si>
    <t>A</t>
  </si>
  <si>
    <t>B</t>
  </si>
  <si>
    <t>C</t>
  </si>
  <si>
    <t>D</t>
  </si>
  <si>
    <t>E</t>
  </si>
  <si>
    <t>Market</t>
  </si>
  <si>
    <t xml:space="preserve">Risk </t>
  </si>
  <si>
    <t>Premium</t>
  </si>
  <si>
    <t>G</t>
  </si>
  <si>
    <t>H</t>
  </si>
  <si>
    <t>I</t>
  </si>
  <si>
    <t>J</t>
  </si>
  <si>
    <t>K</t>
  </si>
  <si>
    <t>Monthly</t>
  </si>
  <si>
    <t xml:space="preserve">Other Portfolio Calculations </t>
  </si>
  <si>
    <t>L=H/K</t>
  </si>
  <si>
    <t>M</t>
  </si>
  <si>
    <t>N</t>
  </si>
  <si>
    <t>O=MxH</t>
  </si>
  <si>
    <t>P=MxB</t>
  </si>
  <si>
    <t>Beta</t>
  </si>
  <si>
    <t xml:space="preserve">Expected </t>
  </si>
  <si>
    <t>Excess</t>
  </si>
  <si>
    <t>Return</t>
  </si>
  <si>
    <t xml:space="preserve">Forecast </t>
  </si>
  <si>
    <t xml:space="preserve">Annual </t>
  </si>
  <si>
    <t>Alpha</t>
  </si>
  <si>
    <t>Forecast</t>
  </si>
  <si>
    <t>Standard</t>
  </si>
  <si>
    <t>Error</t>
  </si>
  <si>
    <t xml:space="preserve">Residual </t>
  </si>
  <si>
    <t xml:space="preserve">Initial </t>
  </si>
  <si>
    <t>Weight</t>
  </si>
  <si>
    <t>Weight^2</t>
  </si>
  <si>
    <t>Weighted</t>
  </si>
  <si>
    <t>Subtotal:</t>
  </si>
  <si>
    <t>Active Portfolio</t>
  </si>
  <si>
    <t>Ratio</t>
  </si>
  <si>
    <t>Alpha/Resid Var</t>
  </si>
  <si>
    <t>Market Portfolio</t>
  </si>
  <si>
    <t>Exp. Exc</t>
  </si>
  <si>
    <t>Optimal Portfolio:</t>
  </si>
  <si>
    <t>Active Portfolio Ratio</t>
  </si>
  <si>
    <t>Market Portfolio Ratio</t>
  </si>
  <si>
    <t>Initial Position in Active Portfolio</t>
  </si>
  <si>
    <t>Adjusted Position in Active Portfolio</t>
  </si>
  <si>
    <t>Adjusted Position in Market Portfolio</t>
  </si>
  <si>
    <t>Weights:</t>
  </si>
  <si>
    <t>Systematic Risk</t>
  </si>
  <si>
    <t>Res. Variance (Firm Specific)</t>
  </si>
  <si>
    <t>Total Variance</t>
  </si>
  <si>
    <t>Portfolio</t>
  </si>
  <si>
    <t>Defensive</t>
  </si>
  <si>
    <t>Growth</t>
  </si>
  <si>
    <t>Big</t>
  </si>
  <si>
    <t>Value</t>
  </si>
  <si>
    <t>Neutral</t>
  </si>
  <si>
    <t>OEF Prices</t>
  </si>
  <si>
    <t>OEF Exc. Returns (%)</t>
  </si>
  <si>
    <t>Portfolio Ret. (%)</t>
  </si>
  <si>
    <t>Benchmark Returns</t>
  </si>
  <si>
    <t>OEF Returns (%)</t>
  </si>
  <si>
    <t>Portfolio Exc. Ret. (%)</t>
  </si>
  <si>
    <t>BMK Equity Curve</t>
  </si>
  <si>
    <t>Portfolio Eq. Curve</t>
  </si>
  <si>
    <t>BMK beta:</t>
  </si>
  <si>
    <t>Q=NxK</t>
  </si>
  <si>
    <t>NEE</t>
  </si>
  <si>
    <t>Portfolio Analysis</t>
  </si>
  <si>
    <t>Small</t>
  </si>
  <si>
    <t>Sector</t>
  </si>
  <si>
    <t xml:space="preserve">S &amp; P 500 </t>
  </si>
  <si>
    <t>% of Stock</t>
  </si>
  <si>
    <t>Technology</t>
  </si>
  <si>
    <t>Revenue</t>
  </si>
  <si>
    <t>OI</t>
  </si>
  <si>
    <t>NI</t>
  </si>
  <si>
    <t>D/Y</t>
  </si>
  <si>
    <t>Price</t>
  </si>
  <si>
    <t>P/B</t>
  </si>
  <si>
    <t>$1000000 Allocation</t>
  </si>
  <si>
    <t># Stocks</t>
  </si>
  <si>
    <t>Utilities</t>
  </si>
  <si>
    <t>Asset</t>
  </si>
  <si>
    <t>YTD Ret %</t>
  </si>
  <si>
    <t>% Asset</t>
  </si>
  <si>
    <t>Hlth Care</t>
  </si>
  <si>
    <t>Cnsmr Def</t>
  </si>
  <si>
    <t>Com Svcs</t>
  </si>
  <si>
    <t>Market Prfl</t>
  </si>
  <si>
    <t xml:space="preserve"> </t>
  </si>
  <si>
    <t>Rating &amp; Risk</t>
  </si>
  <si>
    <t>R-Squared</t>
  </si>
  <si>
    <t>St. Deviation</t>
  </si>
  <si>
    <t>Sharpe Ratio</t>
  </si>
  <si>
    <t>Exc. Return</t>
  </si>
  <si>
    <t>Std. Deviation</t>
  </si>
  <si>
    <t xml:space="preserve">SR monthly </t>
  </si>
  <si>
    <t>SR anually</t>
  </si>
  <si>
    <t>Current Investment Style</t>
  </si>
  <si>
    <t xml:space="preserve">Market Cap </t>
  </si>
  <si>
    <t>%</t>
  </si>
  <si>
    <t xml:space="preserve">Large </t>
  </si>
  <si>
    <t>Avg $bil:</t>
  </si>
  <si>
    <t>Giant</t>
  </si>
  <si>
    <t>Mid</t>
  </si>
  <si>
    <t>Large</t>
  </si>
  <si>
    <t>~35</t>
  </si>
  <si>
    <t>Financial Ratios (ttm)</t>
  </si>
  <si>
    <t xml:space="preserve">EPS </t>
  </si>
  <si>
    <t xml:space="preserve">P/E </t>
  </si>
  <si>
    <t xml:space="preserve">ROE </t>
  </si>
  <si>
    <t xml:space="preserve">ROA </t>
  </si>
  <si>
    <t>Ind Avr (PE)</t>
  </si>
  <si>
    <t>Oper.mrg</t>
  </si>
  <si>
    <t>Profit mrg</t>
  </si>
  <si>
    <t>Profitability</t>
  </si>
  <si>
    <t>Return on Equity</t>
  </si>
  <si>
    <t>Return on Assets</t>
  </si>
  <si>
    <t>Value measures</t>
  </si>
  <si>
    <t>Price/Earnings</t>
  </si>
  <si>
    <t>Dividend Yield %</t>
  </si>
  <si>
    <t>Net Composition</t>
  </si>
  <si>
    <t>Stocks</t>
  </si>
  <si>
    <t>Market Index</t>
  </si>
  <si>
    <t>Active Portfolio Sector Weightings</t>
  </si>
  <si>
    <t>% Stock</t>
  </si>
  <si>
    <t>Asset weightings in active portfolio</t>
  </si>
  <si>
    <t>Stock weightings in active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</si>
</sst>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&quot;$&quot;#,##0.00"/>
    <numFmt numFmtId="166" formatCode="0.0"/>
    <numFmt numFmtId="167" formatCode="_(* #,##0_);_(* \(#,##0\);_(* &quot;-&quot;??_);_(@_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9"/>
      <color theme="1"/>
      <name val="Times New Roman"/>
      <family val="1"/>
    </font>
    <font>
      <sz val="9"/>
      <color rgb="FF232A31"/>
      <name val="Times New Roman"/>
      <family val="1"/>
    </font>
    <font>
      <b/>
      <sz val="9"/>
      <color theme="1"/>
      <name val="Times New Roman"/>
      <family val="1"/>
    </font>
    <font>
      <sz val="9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C7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164" fontId="3" fillId="0" borderId="3" xfId="0" applyNumberFormat="1" applyFont="1" applyBorder="1" applyAlignment="1">
      <alignment horizontal="centerContinuous"/>
    </xf>
    <xf numFmtId="164" fontId="0" fillId="0" borderId="1" xfId="0" applyNumberFormat="1" applyBorder="1"/>
    <xf numFmtId="164" fontId="3" fillId="0" borderId="3" xfId="0" applyNumberFormat="1" applyFont="1" applyBorder="1" applyAlignment="1">
      <alignment horizontal="center"/>
    </xf>
    <xf numFmtId="164" fontId="0" fillId="2" borderId="0" xfId="0" applyNumberFormat="1" applyFill="1"/>
    <xf numFmtId="164" fontId="0" fillId="2" borderId="1" xfId="0" applyNumberFormat="1" applyFill="1" applyBorder="1"/>
    <xf numFmtId="164" fontId="0" fillId="3" borderId="0" xfId="0" applyNumberFormat="1" applyFill="1"/>
    <xf numFmtId="164" fontId="2" fillId="0" borderId="4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0" fillId="5" borderId="0" xfId="0" applyNumberFormat="1" applyFill="1"/>
    <xf numFmtId="164" fontId="0" fillId="6" borderId="0" xfId="0" applyNumberFormat="1" applyFill="1"/>
    <xf numFmtId="164" fontId="2" fillId="5" borderId="5" xfId="0" applyNumberFormat="1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4" borderId="0" xfId="0" applyNumberFormat="1" applyFill="1"/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center" vertical="center"/>
    </xf>
    <xf numFmtId="164" fontId="4" fillId="4" borderId="0" xfId="0" applyNumberFormat="1" applyFont="1" applyFill="1"/>
    <xf numFmtId="9" fontId="0" fillId="4" borderId="0" xfId="1" applyFont="1" applyFill="1"/>
    <xf numFmtId="0" fontId="0" fillId="7" borderId="0" xfId="0" applyFill="1"/>
    <xf numFmtId="0" fontId="0" fillId="7" borderId="1" xfId="0" applyFill="1" applyBorder="1"/>
    <xf numFmtId="14" fontId="5" fillId="0" borderId="0" xfId="0" applyNumberFormat="1" applyFont="1"/>
    <xf numFmtId="164" fontId="0" fillId="0" borderId="0" xfId="0" applyNumberFormat="1" applyAlignment="1">
      <alignment wrapText="1"/>
    </xf>
    <xf numFmtId="164" fontId="2" fillId="4" borderId="5" xfId="0" applyNumberFormat="1" applyFont="1" applyFill="1" applyBorder="1"/>
    <xf numFmtId="164" fontId="2" fillId="4" borderId="6" xfId="0" applyNumberFormat="1" applyFont="1" applyFill="1" applyBorder="1"/>
    <xf numFmtId="164" fontId="2" fillId="4" borderId="7" xfId="0" applyNumberFormat="1" applyFont="1" applyFill="1" applyBorder="1"/>
    <xf numFmtId="164" fontId="2" fillId="4" borderId="8" xfId="0" applyNumberFormat="1" applyFont="1" applyFill="1" applyBorder="1"/>
    <xf numFmtId="10" fontId="0" fillId="5" borderId="0" xfId="1" applyNumberFormat="1" applyFont="1" applyFill="1"/>
    <xf numFmtId="10" fontId="2" fillId="4" borderId="0" xfId="1" applyNumberFormat="1" applyFont="1" applyFill="1"/>
    <xf numFmtId="0" fontId="0" fillId="2" borderId="1" xfId="0" applyFill="1" applyBorder="1"/>
    <xf numFmtId="0" fontId="0" fillId="2" borderId="0" xfId="0" applyFill="1"/>
    <xf numFmtId="1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 vertical="top"/>
    </xf>
    <xf numFmtId="164" fontId="6" fillId="0" borderId="0" xfId="0" applyNumberFormat="1" applyFont="1"/>
    <xf numFmtId="10" fontId="6" fillId="0" borderId="0" xfId="1" applyNumberFormat="1" applyFont="1" applyFill="1"/>
    <xf numFmtId="164" fontId="6" fillId="0" borderId="0" xfId="0" applyNumberFormat="1" applyFont="1" applyAlignment="1">
      <alignment horizontal="left" vertical="top"/>
    </xf>
    <xf numFmtId="2" fontId="6" fillId="0" borderId="0" xfId="1" applyNumberFormat="1" applyFont="1"/>
    <xf numFmtId="165" fontId="6" fillId="0" borderId="0" xfId="1" applyNumberFormat="1" applyFont="1"/>
    <xf numFmtId="10" fontId="6" fillId="0" borderId="0" xfId="1" applyNumberFormat="1" applyFont="1" applyAlignment="1">
      <alignment horizontal="left" vertical="top"/>
    </xf>
    <xf numFmtId="10" fontId="6" fillId="0" borderId="0" xfId="1" applyNumberFormat="1" applyFont="1"/>
    <xf numFmtId="164" fontId="8" fillId="8" borderId="0" xfId="0" applyNumberFormat="1" applyFont="1" applyFill="1"/>
    <xf numFmtId="164" fontId="6" fillId="8" borderId="0" xfId="0" applyNumberFormat="1" applyFont="1" applyFill="1"/>
    <xf numFmtId="164" fontId="8" fillId="4" borderId="8" xfId="0" applyNumberFormat="1" applyFont="1" applyFill="1" applyBorder="1" applyAlignment="1">
      <alignment horizontal="left" vertical="center"/>
    </xf>
    <xf numFmtId="10" fontId="8" fillId="4" borderId="8" xfId="1" applyNumberFormat="1" applyFont="1" applyFill="1" applyBorder="1" applyAlignment="1">
      <alignment horizontal="left" vertical="center"/>
    </xf>
    <xf numFmtId="164" fontId="8" fillId="4" borderId="8" xfId="0" applyNumberFormat="1" applyFont="1" applyFill="1" applyBorder="1" applyAlignment="1">
      <alignment horizontal="right" vertical="center"/>
    </xf>
    <xf numFmtId="164" fontId="6" fillId="4" borderId="0" xfId="0" applyNumberFormat="1" applyFont="1" applyFill="1"/>
    <xf numFmtId="10" fontId="6" fillId="4" borderId="0" xfId="1" applyNumberFormat="1" applyFont="1" applyFill="1"/>
    <xf numFmtId="164" fontId="6" fillId="4" borderId="0" xfId="0" applyNumberFormat="1" applyFont="1" applyFill="1" applyAlignment="1">
      <alignment horizontal="left" vertical="top"/>
    </xf>
    <xf numFmtId="164" fontId="6" fillId="0" borderId="4" xfId="0" applyNumberFormat="1" applyFont="1" applyBorder="1"/>
    <xf numFmtId="10" fontId="6" fillId="0" borderId="4" xfId="1" applyNumberFormat="1" applyFont="1" applyBorder="1"/>
    <xf numFmtId="164" fontId="6" fillId="4" borderId="0" xfId="0" applyNumberFormat="1" applyFont="1" applyFill="1" applyAlignment="1">
      <alignment horizontal="left" vertical="top" textRotation="180" wrapText="1"/>
    </xf>
    <xf numFmtId="2" fontId="6" fillId="4" borderId="0" xfId="1" applyNumberFormat="1" applyFont="1" applyFill="1"/>
    <xf numFmtId="164" fontId="6" fillId="4" borderId="0" xfId="0" applyNumberFormat="1" applyFont="1" applyFill="1" applyAlignment="1">
      <alignment horizontal="left" vertical="top" textRotation="180"/>
    </xf>
    <xf numFmtId="164" fontId="9" fillId="9" borderId="4" xfId="0" applyNumberFormat="1" applyFont="1" applyFill="1" applyBorder="1"/>
    <xf numFmtId="164" fontId="6" fillId="4" borderId="0" xfId="0" applyNumberFormat="1" applyFont="1" applyFill="1" applyAlignment="1">
      <alignment horizontal="right" vertical="center"/>
    </xf>
    <xf numFmtId="166" fontId="6" fillId="4" borderId="0" xfId="0" applyNumberFormat="1" applyFont="1" applyFill="1"/>
    <xf numFmtId="10" fontId="8" fillId="8" borderId="8" xfId="1" applyNumberFormat="1" applyFont="1" applyFill="1" applyBorder="1" applyAlignment="1">
      <alignment horizontal="left" vertical="center"/>
    </xf>
    <xf numFmtId="10" fontId="8" fillId="8" borderId="0" xfId="1" applyNumberFormat="1" applyFont="1" applyFill="1" applyBorder="1" applyAlignment="1">
      <alignment horizontal="left" vertical="center"/>
    </xf>
    <xf numFmtId="10" fontId="8" fillId="0" borderId="0" xfId="1" applyNumberFormat="1" applyFont="1" applyFill="1" applyBorder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10" fontId="6" fillId="0" borderId="0" xfId="1" applyNumberFormat="1" applyFont="1" applyFill="1" applyBorder="1"/>
    <xf numFmtId="0" fontId="6" fillId="0" borderId="0" xfId="0" applyFont="1"/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/>
    </xf>
    <xf numFmtId="0" fontId="6" fillId="4" borderId="0" xfId="0" applyFont="1" applyFill="1"/>
    <xf numFmtId="2" fontId="6" fillId="4" borderId="0" xfId="0" applyNumberFormat="1" applyFont="1" applyFill="1"/>
    <xf numFmtId="2" fontId="6" fillId="0" borderId="0" xfId="0" applyNumberFormat="1" applyFont="1"/>
    <xf numFmtId="167" fontId="6" fillId="4" borderId="0" xfId="2" applyNumberFormat="1" applyFont="1" applyFill="1"/>
    <xf numFmtId="167" fontId="7" fillId="4" borderId="0" xfId="2" applyNumberFormat="1" applyFont="1" applyFill="1"/>
    <xf numFmtId="166" fontId="7" fillId="4" borderId="0" xfId="0" applyNumberFormat="1" applyFont="1" applyFill="1"/>
    <xf numFmtId="166" fontId="6" fillId="4" borderId="0" xfId="1" applyNumberFormat="1" applyFont="1" applyFill="1"/>
    <xf numFmtId="166" fontId="6" fillId="4" borderId="0" xfId="0" applyNumberFormat="1" applyFont="1" applyFill="1" applyAlignment="1">
      <alignment horizontal="right"/>
    </xf>
    <xf numFmtId="167" fontId="7" fillId="4" borderId="0" xfId="2" applyNumberFormat="1" applyFont="1" applyFill="1" applyAlignment="1">
      <alignment vertical="center"/>
    </xf>
    <xf numFmtId="164" fontId="8" fillId="8" borderId="8" xfId="0" applyNumberFormat="1" applyFont="1" applyFill="1" applyBorder="1" applyAlignment="1">
      <alignment wrapText="1"/>
    </xf>
    <xf numFmtId="10" fontId="6" fillId="4" borderId="0" xfId="0" applyNumberFormat="1" applyFont="1" applyFill="1"/>
    <xf numFmtId="164" fontId="6" fillId="9" borderId="8" xfId="0" applyNumberFormat="1" applyFont="1" applyFill="1" applyBorder="1"/>
    <xf numFmtId="164" fontId="6" fillId="9" borderId="8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8" xfId="0" applyFont="1" applyFill="1" applyBorder="1"/>
    <xf numFmtId="164" fontId="6" fillId="4" borderId="8" xfId="0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C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EF-45D9-8545-B1CD77221D1E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EF-45D9-8545-B1CD77221D1E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EEF-45D9-8545-B1CD77221D1E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EF-45D9-8545-B1CD77221D1E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EEF-45D9-8545-B1CD77221D1E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EF-45D9-8545-B1CD7722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EEF-45D9-8545-B1CD77221D1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EEF-45D9-8545-B1CD77221D1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EEF-45D9-8545-B1CD77221D1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EEF-45D9-8545-B1CD77221D1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EEF-45D9-8545-B1CD77221D1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EEF-45D9-8545-B1CD7722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Computations '!$L$56:$L$61</c:f>
              <c:strCache>
                <c:ptCount val="6"/>
                <c:pt idx="0">
                  <c:v>Technology</c:v>
                </c:pt>
                <c:pt idx="1">
                  <c:v>Hlth Care</c:v>
                </c:pt>
                <c:pt idx="2">
                  <c:v>Cnsmr Def</c:v>
                </c:pt>
                <c:pt idx="3">
                  <c:v>Com Svcs</c:v>
                </c:pt>
                <c:pt idx="4">
                  <c:v>Utilities</c:v>
                </c:pt>
                <c:pt idx="5">
                  <c:v>Market Prfl</c:v>
                </c:pt>
              </c:strCache>
            </c:strRef>
          </c:cat>
          <c:val>
            <c:numRef>
              <c:f>'Data Computations '!$M$56:$M$61</c:f>
              <c:numCache>
                <c:formatCode>0.00%</c:formatCode>
                <c:ptCount val="6"/>
                <c:pt idx="0">
                  <c:v>0.1747810844965805</c:v>
                </c:pt>
                <c:pt idx="1">
                  <c:v>0.3074557377346851</c:v>
                </c:pt>
                <c:pt idx="2">
                  <c:v>0.15278995801179485</c:v>
                </c:pt>
                <c:pt idx="3">
                  <c:v>0.24318471250354562</c:v>
                </c:pt>
                <c:pt idx="4">
                  <c:v>8.9345214345976615E-2</c:v>
                </c:pt>
                <c:pt idx="5">
                  <c:v>3.2443292907417223E-2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F-45D9-8545-B1CD77221D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+mj-lt"/>
                <a:cs typeface="Times New Roman" panose="02020603050405020304" pitchFamily="18" charset="0"/>
              </a:rPr>
              <a:t>Equity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Computations '!$H$2</c:f>
              <c:strCache>
                <c:ptCount val="1"/>
                <c:pt idx="0">
                  <c:v>BMK Equity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Computations '!$A$3:$A$63</c:f>
              <c:numCache>
                <c:formatCode>m/d/yyyy</c:formatCode>
                <c:ptCount val="61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  <c:pt idx="25">
                  <c:v>44197</c:v>
                </c:pt>
                <c:pt idx="26">
                  <c:v>44228</c:v>
                </c:pt>
                <c:pt idx="27">
                  <c:v>44256</c:v>
                </c:pt>
                <c:pt idx="28">
                  <c:v>44287</c:v>
                </c:pt>
                <c:pt idx="29">
                  <c:v>44317</c:v>
                </c:pt>
                <c:pt idx="30">
                  <c:v>44348</c:v>
                </c:pt>
                <c:pt idx="31">
                  <c:v>44378</c:v>
                </c:pt>
                <c:pt idx="32">
                  <c:v>44409</c:v>
                </c:pt>
                <c:pt idx="33">
                  <c:v>44440</c:v>
                </c:pt>
                <c:pt idx="34">
                  <c:v>44470</c:v>
                </c:pt>
                <c:pt idx="35">
                  <c:v>44501</c:v>
                </c:pt>
                <c:pt idx="36">
                  <c:v>44531</c:v>
                </c:pt>
                <c:pt idx="37">
                  <c:v>44562</c:v>
                </c:pt>
                <c:pt idx="38">
                  <c:v>44593</c:v>
                </c:pt>
                <c:pt idx="39">
                  <c:v>44621</c:v>
                </c:pt>
                <c:pt idx="40">
                  <c:v>44652</c:v>
                </c:pt>
                <c:pt idx="41">
                  <c:v>44682</c:v>
                </c:pt>
                <c:pt idx="42">
                  <c:v>44713</c:v>
                </c:pt>
                <c:pt idx="43">
                  <c:v>44743</c:v>
                </c:pt>
                <c:pt idx="44">
                  <c:v>44774</c:v>
                </c:pt>
                <c:pt idx="45">
                  <c:v>44805</c:v>
                </c:pt>
                <c:pt idx="46">
                  <c:v>44835</c:v>
                </c:pt>
                <c:pt idx="47">
                  <c:v>44866</c:v>
                </c:pt>
                <c:pt idx="48">
                  <c:v>44896</c:v>
                </c:pt>
                <c:pt idx="49">
                  <c:v>44927</c:v>
                </c:pt>
                <c:pt idx="50">
                  <c:v>44958</c:v>
                </c:pt>
                <c:pt idx="51">
                  <c:v>44986</c:v>
                </c:pt>
                <c:pt idx="52">
                  <c:v>45017</c:v>
                </c:pt>
                <c:pt idx="53">
                  <c:v>45047</c:v>
                </c:pt>
                <c:pt idx="54">
                  <c:v>45078</c:v>
                </c:pt>
                <c:pt idx="55">
                  <c:v>45108</c:v>
                </c:pt>
                <c:pt idx="56">
                  <c:v>45139</c:v>
                </c:pt>
                <c:pt idx="57">
                  <c:v>45170</c:v>
                </c:pt>
                <c:pt idx="58">
                  <c:v>45200</c:v>
                </c:pt>
                <c:pt idx="59">
                  <c:v>45231</c:v>
                </c:pt>
                <c:pt idx="60">
                  <c:v>45261</c:v>
                </c:pt>
              </c:numCache>
            </c:numRef>
          </c:cat>
          <c:val>
            <c:numRef>
              <c:f>'Data Computations '!$H$3:$H$63</c:f>
              <c:numCache>
                <c:formatCode>0.0000</c:formatCode>
                <c:ptCount val="61"/>
                <c:pt idx="0">
                  <c:v>1</c:v>
                </c:pt>
                <c:pt idx="1">
                  <c:v>1.0671213488117872</c:v>
                </c:pt>
                <c:pt idx="2">
                  <c:v>1.0950053417345214</c:v>
                </c:pt>
                <c:pt idx="3">
                  <c:v>1.1130386596108028</c:v>
                </c:pt>
                <c:pt idx="4">
                  <c:v>1.1604278319251791</c:v>
                </c:pt>
                <c:pt idx="5">
                  <c:v>1.0934651780002227</c:v>
                </c:pt>
                <c:pt idx="6">
                  <c:v>1.1524978269443922</c:v>
                </c:pt>
                <c:pt idx="7">
                  <c:v>1.1760139640545448</c:v>
                </c:pt>
                <c:pt idx="8">
                  <c:v>1.1590642981573553</c:v>
                </c:pt>
                <c:pt idx="9">
                  <c:v>1.1746941369040331</c:v>
                </c:pt>
                <c:pt idx="10">
                  <c:v>1.2085260805218727</c:v>
                </c:pt>
                <c:pt idx="11">
                  <c:v>1.2489933964300497</c:v>
                </c:pt>
                <c:pt idx="12">
                  <c:v>1.278379016192952</c:v>
                </c:pt>
                <c:pt idx="13">
                  <c:v>1.2884187324727108</c:v>
                </c:pt>
                <c:pt idx="14">
                  <c:v>1.1968263132734129</c:v>
                </c:pt>
                <c:pt idx="15">
                  <c:v>1.0852510731904637</c:v>
                </c:pt>
                <c:pt idx="16">
                  <c:v>1.2096864441649404</c:v>
                </c:pt>
                <c:pt idx="17">
                  <c:v>1.2538326131462334</c:v>
                </c:pt>
                <c:pt idx="18">
                  <c:v>1.2798446327026856</c:v>
                </c:pt>
                <c:pt idx="19">
                  <c:v>1.3477167522896516</c:v>
                </c:pt>
                <c:pt idx="20">
                  <c:v>1.4524502480368264</c:v>
                </c:pt>
                <c:pt idx="21">
                  <c:v>1.3892344257632121</c:v>
                </c:pt>
                <c:pt idx="22">
                  <c:v>1.3556013289889079</c:v>
                </c:pt>
                <c:pt idx="23">
                  <c:v>1.4760284783155391</c:v>
                </c:pt>
                <c:pt idx="24">
                  <c:v>1.5185451140688915</c:v>
                </c:pt>
                <c:pt idx="25">
                  <c:v>1.5173101192565692</c:v>
                </c:pt>
                <c:pt idx="26">
                  <c:v>1.5348835989890517</c:v>
                </c:pt>
                <c:pt idx="27">
                  <c:v>1.5872842460378889</c:v>
                </c:pt>
                <c:pt idx="28">
                  <c:v>1.6693635743307544</c:v>
                </c:pt>
                <c:pt idx="29">
                  <c:v>1.675108922577079</c:v>
                </c:pt>
                <c:pt idx="30">
                  <c:v>1.7175254864875371</c:v>
                </c:pt>
                <c:pt idx="31">
                  <c:v>1.7590723751024915</c:v>
                </c:pt>
                <c:pt idx="32">
                  <c:v>1.8122741167194982</c:v>
                </c:pt>
                <c:pt idx="33">
                  <c:v>1.7315255914598451</c:v>
                </c:pt>
                <c:pt idx="34">
                  <c:v>1.849197609271154</c:v>
                </c:pt>
                <c:pt idx="35">
                  <c:v>1.8463117002840161</c:v>
                </c:pt>
                <c:pt idx="36">
                  <c:v>1.9020135564356051</c:v>
                </c:pt>
                <c:pt idx="37">
                  <c:v>1.8295446224062437</c:v>
                </c:pt>
                <c:pt idx="38">
                  <c:v>1.7682817543187332</c:v>
                </c:pt>
                <c:pt idx="39">
                  <c:v>1.8265080797770779</c:v>
                </c:pt>
                <c:pt idx="40">
                  <c:v>1.672290832149568</c:v>
                </c:pt>
                <c:pt idx="41">
                  <c:v>1.6697940029523557</c:v>
                </c:pt>
                <c:pt idx="42">
                  <c:v>1.5538616462753991</c:v>
                </c:pt>
                <c:pt idx="43">
                  <c:v>1.6850159277022259</c:v>
                </c:pt>
                <c:pt idx="44">
                  <c:v>1.619481497185933</c:v>
                </c:pt>
                <c:pt idx="45">
                  <c:v>1.4819032861599493</c:v>
                </c:pt>
                <c:pt idx="46">
                  <c:v>1.5774642496254205</c:v>
                </c:pt>
                <c:pt idx="47">
                  <c:v>1.648473211607332</c:v>
                </c:pt>
                <c:pt idx="48">
                  <c:v>1.5543921769242417</c:v>
                </c:pt>
                <c:pt idx="49">
                  <c:v>1.6476740700448733</c:v>
                </c:pt>
                <c:pt idx="50">
                  <c:v>1.6179365853568117</c:v>
                </c:pt>
                <c:pt idx="51">
                  <c:v>1.6933710255138981</c:v>
                </c:pt>
                <c:pt idx="52">
                  <c:v>1.7316004399256928</c:v>
                </c:pt>
                <c:pt idx="53">
                  <c:v>1.7706190396361048</c:v>
                </c:pt>
                <c:pt idx="54">
                  <c:v>1.85917366459122</c:v>
                </c:pt>
                <c:pt idx="55">
                  <c:v>1.9211062514261694</c:v>
                </c:pt>
                <c:pt idx="56">
                  <c:v>1.9022898824214918</c:v>
                </c:pt>
                <c:pt idx="57">
                  <c:v>1.8171148713404093</c:v>
                </c:pt>
                <c:pt idx="58">
                  <c:v>1.7992438860059412</c:v>
                </c:pt>
                <c:pt idx="59">
                  <c:v>1.9439292144928804</c:v>
                </c:pt>
                <c:pt idx="60">
                  <c:v>2.0060440888949702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F-4C98-B630-C9787E59CB54}"/>
            </c:ext>
          </c:extLst>
        </c:ser>
        <c:ser>
          <c:idx val="1"/>
          <c:order val="1"/>
          <c:tx>
            <c:strRef>
              <c:f>'Data Computations '!$I$2</c:f>
              <c:strCache>
                <c:ptCount val="1"/>
                <c:pt idx="0">
                  <c:v>Portfolio Eq. Curve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Computations '!$A$3:$A$63</c:f>
              <c:numCache>
                <c:formatCode>m/d/yyyy</c:formatCode>
                <c:ptCount val="61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  <c:pt idx="13">
                  <c:v>43831</c:v>
                </c:pt>
                <c:pt idx="14">
                  <c:v>43862</c:v>
                </c:pt>
                <c:pt idx="15">
                  <c:v>43891</c:v>
                </c:pt>
                <c:pt idx="16">
                  <c:v>43922</c:v>
                </c:pt>
                <c:pt idx="17">
                  <c:v>43952</c:v>
                </c:pt>
                <c:pt idx="18">
                  <c:v>43983</c:v>
                </c:pt>
                <c:pt idx="19">
                  <c:v>44013</c:v>
                </c:pt>
                <c:pt idx="20">
                  <c:v>44044</c:v>
                </c:pt>
                <c:pt idx="21">
                  <c:v>44075</c:v>
                </c:pt>
                <c:pt idx="22">
                  <c:v>44105</c:v>
                </c:pt>
                <c:pt idx="23">
                  <c:v>44136</c:v>
                </c:pt>
                <c:pt idx="24">
                  <c:v>44166</c:v>
                </c:pt>
                <c:pt idx="25">
                  <c:v>44197</c:v>
                </c:pt>
                <c:pt idx="26">
                  <c:v>44228</c:v>
                </c:pt>
                <c:pt idx="27">
                  <c:v>44256</c:v>
                </c:pt>
                <c:pt idx="28">
                  <c:v>44287</c:v>
                </c:pt>
                <c:pt idx="29">
                  <c:v>44317</c:v>
                </c:pt>
                <c:pt idx="30">
                  <c:v>44348</c:v>
                </c:pt>
                <c:pt idx="31">
                  <c:v>44378</c:v>
                </c:pt>
                <c:pt idx="32">
                  <c:v>44409</c:v>
                </c:pt>
                <c:pt idx="33">
                  <c:v>44440</c:v>
                </c:pt>
                <c:pt idx="34">
                  <c:v>44470</c:v>
                </c:pt>
                <c:pt idx="35">
                  <c:v>44501</c:v>
                </c:pt>
                <c:pt idx="36">
                  <c:v>44531</c:v>
                </c:pt>
                <c:pt idx="37">
                  <c:v>44562</c:v>
                </c:pt>
                <c:pt idx="38">
                  <c:v>44593</c:v>
                </c:pt>
                <c:pt idx="39">
                  <c:v>44621</c:v>
                </c:pt>
                <c:pt idx="40">
                  <c:v>44652</c:v>
                </c:pt>
                <c:pt idx="41">
                  <c:v>44682</c:v>
                </c:pt>
                <c:pt idx="42">
                  <c:v>44713</c:v>
                </c:pt>
                <c:pt idx="43">
                  <c:v>44743</c:v>
                </c:pt>
                <c:pt idx="44">
                  <c:v>44774</c:v>
                </c:pt>
                <c:pt idx="45">
                  <c:v>44805</c:v>
                </c:pt>
                <c:pt idx="46">
                  <c:v>44835</c:v>
                </c:pt>
                <c:pt idx="47">
                  <c:v>44866</c:v>
                </c:pt>
                <c:pt idx="48">
                  <c:v>44896</c:v>
                </c:pt>
                <c:pt idx="49">
                  <c:v>44927</c:v>
                </c:pt>
                <c:pt idx="50">
                  <c:v>44958</c:v>
                </c:pt>
                <c:pt idx="51">
                  <c:v>44986</c:v>
                </c:pt>
                <c:pt idx="52">
                  <c:v>45017</c:v>
                </c:pt>
                <c:pt idx="53">
                  <c:v>45047</c:v>
                </c:pt>
                <c:pt idx="54">
                  <c:v>45078</c:v>
                </c:pt>
                <c:pt idx="55">
                  <c:v>45108</c:v>
                </c:pt>
                <c:pt idx="56">
                  <c:v>45139</c:v>
                </c:pt>
                <c:pt idx="57">
                  <c:v>45170</c:v>
                </c:pt>
                <c:pt idx="58">
                  <c:v>45200</c:v>
                </c:pt>
                <c:pt idx="59">
                  <c:v>45231</c:v>
                </c:pt>
                <c:pt idx="60">
                  <c:v>45261</c:v>
                </c:pt>
              </c:numCache>
            </c:numRef>
          </c:cat>
          <c:val>
            <c:numRef>
              <c:f>'Data Computations '!$I$3:$I$63</c:f>
              <c:numCache>
                <c:formatCode>0.0000</c:formatCode>
                <c:ptCount val="61"/>
                <c:pt idx="0">
                  <c:v>1</c:v>
                </c:pt>
                <c:pt idx="1">
                  <c:v>1.057803646368767</c:v>
                </c:pt>
                <c:pt idx="2">
                  <c:v>1.101181637728132</c:v>
                </c:pt>
                <c:pt idx="3">
                  <c:v>1.1317310220225911</c:v>
                </c:pt>
                <c:pt idx="4">
                  <c:v>1.1881960904381497</c:v>
                </c:pt>
                <c:pt idx="5">
                  <c:v>1.1168523796488632</c:v>
                </c:pt>
                <c:pt idx="6">
                  <c:v>1.1977076643357916</c:v>
                </c:pt>
                <c:pt idx="7">
                  <c:v>1.2003114052086754</c:v>
                </c:pt>
                <c:pt idx="8">
                  <c:v>1.1908014131959901</c:v>
                </c:pt>
                <c:pt idx="9">
                  <c:v>1.2097513482308424</c:v>
                </c:pt>
                <c:pt idx="10">
                  <c:v>1.2375810749477263</c:v>
                </c:pt>
                <c:pt idx="11">
                  <c:v>1.2871095052979096</c:v>
                </c:pt>
                <c:pt idx="12">
                  <c:v>1.3373994334968984</c:v>
                </c:pt>
                <c:pt idx="13">
                  <c:v>1.3700628976456279</c:v>
                </c:pt>
                <c:pt idx="14">
                  <c:v>1.267680600729542</c:v>
                </c:pt>
                <c:pt idx="15">
                  <c:v>1.1592431193385722</c:v>
                </c:pt>
                <c:pt idx="16">
                  <c:v>1.3094784971208322</c:v>
                </c:pt>
                <c:pt idx="17">
                  <c:v>1.3576266980994323</c:v>
                </c:pt>
                <c:pt idx="18">
                  <c:v>1.3974430594796314</c:v>
                </c:pt>
                <c:pt idx="19">
                  <c:v>1.4598634704287194</c:v>
                </c:pt>
                <c:pt idx="20">
                  <c:v>1.5694222257631059</c:v>
                </c:pt>
                <c:pt idx="21">
                  <c:v>1.5094865305302347</c:v>
                </c:pt>
                <c:pt idx="22">
                  <c:v>1.4602256105527605</c:v>
                </c:pt>
                <c:pt idx="23">
                  <c:v>1.5962600935834288</c:v>
                </c:pt>
                <c:pt idx="24">
                  <c:v>1.6776692313993526</c:v>
                </c:pt>
                <c:pt idx="25">
                  <c:v>1.6954552288354119</c:v>
                </c:pt>
                <c:pt idx="26">
                  <c:v>1.7134149091142377</c:v>
                </c:pt>
                <c:pt idx="27">
                  <c:v>1.7673281948871122</c:v>
                </c:pt>
                <c:pt idx="28">
                  <c:v>1.8426114674711385</c:v>
                </c:pt>
                <c:pt idx="29">
                  <c:v>1.8508155922257667</c:v>
                </c:pt>
                <c:pt idx="30">
                  <c:v>1.9090708592864041</c:v>
                </c:pt>
                <c:pt idx="31">
                  <c:v>1.9637103584894366</c:v>
                </c:pt>
                <c:pt idx="32">
                  <c:v>2.0254422885828332</c:v>
                </c:pt>
                <c:pt idx="33">
                  <c:v>1.9213093125041272</c:v>
                </c:pt>
                <c:pt idx="34">
                  <c:v>2.0786057339248383</c:v>
                </c:pt>
                <c:pt idx="35">
                  <c:v>2.04044720277115</c:v>
                </c:pt>
                <c:pt idx="36">
                  <c:v>2.128585513931502</c:v>
                </c:pt>
                <c:pt idx="37">
                  <c:v>2.0188185255788031</c:v>
                </c:pt>
                <c:pt idx="38">
                  <c:v>1.9645170822631535</c:v>
                </c:pt>
                <c:pt idx="39">
                  <c:v>2.0366662722210438</c:v>
                </c:pt>
                <c:pt idx="40">
                  <c:v>1.8818480568269773</c:v>
                </c:pt>
                <c:pt idx="41">
                  <c:v>1.8768720493831539</c:v>
                </c:pt>
                <c:pt idx="42">
                  <c:v>1.7676985763731932</c:v>
                </c:pt>
                <c:pt idx="43">
                  <c:v>1.8927905395164895</c:v>
                </c:pt>
                <c:pt idx="44">
                  <c:v>1.7976384283390501</c:v>
                </c:pt>
                <c:pt idx="45">
                  <c:v>1.6563976442156836</c:v>
                </c:pt>
                <c:pt idx="46">
                  <c:v>1.7450919809323155</c:v>
                </c:pt>
                <c:pt idx="47">
                  <c:v>1.847214449757784</c:v>
                </c:pt>
                <c:pt idx="48">
                  <c:v>1.762393959981672</c:v>
                </c:pt>
                <c:pt idx="49">
                  <c:v>1.8206895855711123</c:v>
                </c:pt>
                <c:pt idx="50">
                  <c:v>1.7786155143027291</c:v>
                </c:pt>
                <c:pt idx="51">
                  <c:v>1.882814437267202</c:v>
                </c:pt>
                <c:pt idx="52">
                  <c:v>1.9393714481347675</c:v>
                </c:pt>
                <c:pt idx="53">
                  <c:v>1.9534431510318666</c:v>
                </c:pt>
                <c:pt idx="54">
                  <c:v>2.0691742012024559</c:v>
                </c:pt>
                <c:pt idx="55">
                  <c:v>2.1029909316924642</c:v>
                </c:pt>
                <c:pt idx="56">
                  <c:v>2.0557457999038906</c:v>
                </c:pt>
                <c:pt idx="57">
                  <c:v>1.9630427090171951</c:v>
                </c:pt>
                <c:pt idx="58">
                  <c:v>1.9602804873266102</c:v>
                </c:pt>
                <c:pt idx="59">
                  <c:v>2.1353676532976489</c:v>
                </c:pt>
                <c:pt idx="60">
                  <c:v>2.20156449471741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F-4C98-B630-C9787E59C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63056"/>
        <c:axId val="194663888"/>
      </c:lineChart>
      <c:dateAx>
        <c:axId val="1946630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3888"/>
        <c:crosses val="autoZero"/>
        <c:auto val="1"/>
        <c:lblOffset val="100"/>
        <c:baseTimeUnit val="months"/>
      </c:dateAx>
      <c:valAx>
        <c:axId val="1946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101601</xdr:colOff>
      <xdr:row>53</xdr:row>
      <xdr:rowOff>25400</xdr:rowOff>
    </xdr:from>
    <xdr:to>
      <xdr:col>18</xdr:col>
      <xdr:colOff>520700</xdr:colOff>
      <xdr:row>63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16277-5614-48AD-ADA4-4E13CFF9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820854</xdr:colOff>
      <xdr:row>2</xdr:row>
      <xdr:rowOff>154878</xdr:rowOff>
    </xdr:from>
    <xdr:to>
      <xdr:col>19</xdr:col>
      <xdr:colOff>58633</xdr:colOff>
      <xdr:row>23</xdr:row>
      <xdr:rowOff>15488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50BDA-EB97-4AF6-B147-6466A024D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A01A-1FE7-9945-B386-29C28395A268}">
  <dimension ref="A1:F62"/>
  <sheetViews>
    <sheetView tabSelected="1" zoomScale="55" zoomScaleNormal="55" workbookViewId="0">
      <selection activeCell="G3" sqref="G3"/>
    </sheetView>
  </sheetViews>
  <sheetFormatPr defaultColWidth="11.5" defaultRowHeight="15.75" x14ac:dyDescent="0.25"/>
  <cols>
    <col min="2" max="6" width="10.875" style="2"/>
  </cols>
  <sheetData>
    <row r="1" spans="1:6" x14ac:dyDescent="0.25">
      <c r="A1" t="s">
        <v>0</v>
      </c>
      <c r="B1" s="2" t="s">
        <v>1</v>
      </c>
      <c r="C1" s="2" t="s">
        <v>2</v>
      </c>
      <c r="D1" s="2" t="s">
        <v>8</v>
      </c>
      <c r="E1" s="2" t="s">
        <v>3</v>
      </c>
      <c r="F1" s="2" t="s">
        <v>113</v>
      </c>
    </row>
    <row r="2" spans="1:6" x14ac:dyDescent="0.25">
      <c r="A2" s="1">
        <v>43435</v>
      </c>
      <c r="B2" s="2">
        <v>96.272552000000005</v>
      </c>
      <c r="C2" s="2">
        <v>111.865387</v>
      </c>
      <c r="D2" s="2">
        <v>40.185237999999998</v>
      </c>
      <c r="E2" s="2">
        <v>42.939342000000003</v>
      </c>
      <c r="F2" s="2">
        <v>38.469475000000003</v>
      </c>
    </row>
    <row r="3" spans="1:6" x14ac:dyDescent="0.25">
      <c r="A3" s="1">
        <v>43466</v>
      </c>
      <c r="B3" s="2">
        <v>98.983383000000003</v>
      </c>
      <c r="C3" s="2">
        <v>115.358734</v>
      </c>
      <c r="D3" s="2">
        <v>40.847220999999998</v>
      </c>
      <c r="E3" s="2">
        <v>42.053364000000002</v>
      </c>
      <c r="F3" s="2">
        <v>39.611469</v>
      </c>
    </row>
    <row r="4" spans="1:6" x14ac:dyDescent="0.25">
      <c r="A4" s="1">
        <v>43497</v>
      </c>
      <c r="B4" s="2">
        <v>106.187012</v>
      </c>
      <c r="C4" s="2">
        <v>118.444664</v>
      </c>
      <c r="D4" s="2">
        <v>38.479385000000001</v>
      </c>
      <c r="E4" s="2">
        <v>43.927689000000001</v>
      </c>
      <c r="F4" s="2">
        <v>41.545794999999998</v>
      </c>
    </row>
    <row r="5" spans="1:6" x14ac:dyDescent="0.25">
      <c r="A5" s="1">
        <v>43525</v>
      </c>
      <c r="B5" s="2">
        <v>112.266182</v>
      </c>
      <c r="C5" s="2">
        <v>121.97886699999999</v>
      </c>
      <c r="D5" s="2">
        <v>39.769390000000001</v>
      </c>
      <c r="E5" s="2">
        <v>45.633270000000003</v>
      </c>
      <c r="F5" s="2">
        <v>43.071209000000003</v>
      </c>
    </row>
    <row r="6" spans="1:6" x14ac:dyDescent="0.25">
      <c r="A6" s="1">
        <v>43556</v>
      </c>
      <c r="B6" s="2">
        <v>124.31716900000001</v>
      </c>
      <c r="C6" s="2">
        <v>123.20920599999999</v>
      </c>
      <c r="D6" s="2">
        <v>41.999969</v>
      </c>
      <c r="E6" s="2">
        <v>44.136077999999998</v>
      </c>
      <c r="F6" s="2">
        <v>43.320732</v>
      </c>
    </row>
    <row r="7" spans="1:6" x14ac:dyDescent="0.25">
      <c r="A7" s="1">
        <v>43586</v>
      </c>
      <c r="B7" s="2">
        <v>117.730042</v>
      </c>
      <c r="C7" s="2">
        <v>114.439713</v>
      </c>
      <c r="D7" s="2">
        <v>42.059897999999997</v>
      </c>
      <c r="E7" s="2">
        <v>42.376469</v>
      </c>
      <c r="F7" s="2">
        <v>44.160674999999998</v>
      </c>
    </row>
    <row r="8" spans="1:6" x14ac:dyDescent="0.25">
      <c r="A8" s="1">
        <v>43617</v>
      </c>
      <c r="B8" s="2">
        <v>127.987526</v>
      </c>
      <c r="C8" s="2">
        <v>122.365448</v>
      </c>
      <c r="D8" s="2">
        <v>43.592300000000002</v>
      </c>
      <c r="E8" s="2">
        <v>44.544024999999998</v>
      </c>
      <c r="F8" s="2">
        <v>45.930885000000004</v>
      </c>
    </row>
    <row r="9" spans="1:6" x14ac:dyDescent="0.25">
      <c r="A9" s="1">
        <v>43647</v>
      </c>
      <c r="B9" s="2">
        <v>130.19451900000001</v>
      </c>
      <c r="C9" s="2">
        <v>114.405693</v>
      </c>
      <c r="D9" s="2">
        <v>45.407955000000001</v>
      </c>
      <c r="E9" s="2">
        <v>43.093781</v>
      </c>
      <c r="F9" s="2">
        <v>46.448802999999998</v>
      </c>
    </row>
    <row r="10" spans="1:6" x14ac:dyDescent="0.25">
      <c r="A10" s="1">
        <v>43678</v>
      </c>
      <c r="B10" s="2">
        <v>131.71362300000001</v>
      </c>
      <c r="C10" s="2">
        <v>112.77160600000001</v>
      </c>
      <c r="D10" s="2">
        <v>47.48724</v>
      </c>
      <c r="E10" s="2">
        <v>45.824432000000002</v>
      </c>
      <c r="F10" s="2">
        <v>49.119098999999999</v>
      </c>
    </row>
    <row r="11" spans="1:6" x14ac:dyDescent="0.25">
      <c r="A11" s="1">
        <v>43709</v>
      </c>
      <c r="B11" s="2">
        <v>133.27380400000001</v>
      </c>
      <c r="C11" s="2">
        <v>114.51947800000001</v>
      </c>
      <c r="D11" s="2">
        <v>46.969577999999998</v>
      </c>
      <c r="E11" s="2">
        <v>47.557816000000003</v>
      </c>
      <c r="F11" s="2">
        <v>52.530937000000002</v>
      </c>
    </row>
    <row r="12" spans="1:6" x14ac:dyDescent="0.25">
      <c r="A12" s="1">
        <v>43739</v>
      </c>
      <c r="B12" s="2">
        <v>137.434113</v>
      </c>
      <c r="C12" s="2">
        <v>116.873947</v>
      </c>
      <c r="D12" s="2">
        <v>47.304290999999999</v>
      </c>
      <c r="E12" s="2">
        <v>47.644482000000004</v>
      </c>
      <c r="F12" s="2">
        <v>53.737164</v>
      </c>
    </row>
    <row r="13" spans="1:6" x14ac:dyDescent="0.25">
      <c r="A13" s="1">
        <v>43770</v>
      </c>
      <c r="B13" s="2">
        <v>145.11245700000001</v>
      </c>
      <c r="C13" s="2">
        <v>121.697975</v>
      </c>
      <c r="D13" s="2">
        <v>46.409142000000003</v>
      </c>
      <c r="E13" s="2">
        <v>47.957138</v>
      </c>
      <c r="F13" s="2">
        <v>52.718063000000001</v>
      </c>
    </row>
    <row r="14" spans="1:6" x14ac:dyDescent="0.25">
      <c r="A14" s="1">
        <v>43800</v>
      </c>
      <c r="B14" s="2">
        <v>151.68519599999999</v>
      </c>
      <c r="C14" s="2">
        <v>130.00993299999999</v>
      </c>
      <c r="D14" s="2">
        <v>48.463172999999998</v>
      </c>
      <c r="E14" s="2">
        <v>48.880614999999999</v>
      </c>
      <c r="F14" s="2">
        <v>54.890514000000003</v>
      </c>
    </row>
    <row r="15" spans="1:6" x14ac:dyDescent="0.25">
      <c r="A15" s="1">
        <v>43831</v>
      </c>
      <c r="B15" s="2">
        <v>163.737289</v>
      </c>
      <c r="C15" s="2">
        <v>132.683807</v>
      </c>
      <c r="D15" s="2">
        <v>51.133685999999997</v>
      </c>
      <c r="E15" s="2">
        <v>47.320250999999999</v>
      </c>
      <c r="F15" s="2">
        <v>60.793014999999997</v>
      </c>
    </row>
    <row r="16" spans="1:6" x14ac:dyDescent="0.25">
      <c r="A16" s="1">
        <v>43862</v>
      </c>
      <c r="B16" s="2">
        <v>155.830826</v>
      </c>
      <c r="C16" s="2">
        <v>119.858391</v>
      </c>
      <c r="D16" s="2">
        <v>46.834601999999997</v>
      </c>
      <c r="E16" s="2">
        <v>43.565559</v>
      </c>
      <c r="F16" s="2">
        <v>57.293221000000003</v>
      </c>
    </row>
    <row r="17" spans="1:6" x14ac:dyDescent="0.25">
      <c r="A17" s="1">
        <v>43891</v>
      </c>
      <c r="B17" s="2">
        <v>152.109161</v>
      </c>
      <c r="C17" s="2">
        <v>117.617874</v>
      </c>
      <c r="D17" s="2">
        <v>38.74427</v>
      </c>
      <c r="E17" s="2">
        <v>43.219676999999997</v>
      </c>
      <c r="F17" s="2">
        <v>54.826286000000003</v>
      </c>
    </row>
    <row r="18" spans="1:6" x14ac:dyDescent="0.25">
      <c r="A18" s="1">
        <v>43922</v>
      </c>
      <c r="B18" s="2">
        <v>172.84561199999999</v>
      </c>
      <c r="C18" s="2">
        <v>134.57931500000001</v>
      </c>
      <c r="D18" s="2">
        <v>40.532592999999999</v>
      </c>
      <c r="E18" s="2">
        <v>46.211982999999996</v>
      </c>
      <c r="F18" s="2">
        <v>52.661667000000001</v>
      </c>
    </row>
    <row r="19" spans="1:6" x14ac:dyDescent="0.25">
      <c r="A19" s="1">
        <v>43952</v>
      </c>
      <c r="B19" s="2">
        <v>176.742142</v>
      </c>
      <c r="C19" s="2">
        <v>133.42224100000001</v>
      </c>
      <c r="D19" s="2">
        <v>41.230365999999997</v>
      </c>
      <c r="E19" s="2">
        <v>46.652068999999997</v>
      </c>
      <c r="F19" s="2">
        <v>58.230423000000002</v>
      </c>
    </row>
    <row r="20" spans="1:6" x14ac:dyDescent="0.25">
      <c r="A20" s="1">
        <v>43983</v>
      </c>
      <c r="B20" s="2">
        <v>196.82929999999999</v>
      </c>
      <c r="C20" s="2">
        <v>127.013374</v>
      </c>
      <c r="D20" s="2">
        <v>39.463859999999997</v>
      </c>
      <c r="E20" s="2">
        <v>44.822727</v>
      </c>
      <c r="F20" s="2">
        <v>54.723747000000003</v>
      </c>
    </row>
    <row r="21" spans="1:6" x14ac:dyDescent="0.25">
      <c r="A21" s="1">
        <v>44013</v>
      </c>
      <c r="B21" s="2">
        <v>198.28002900000001</v>
      </c>
      <c r="C21" s="2">
        <v>131.64665199999999</v>
      </c>
      <c r="D21" s="2">
        <v>42.104061000000002</v>
      </c>
      <c r="E21" s="2">
        <v>46.733364000000002</v>
      </c>
      <c r="F21" s="2">
        <v>64.310989000000006</v>
      </c>
    </row>
    <row r="22" spans="1:6" x14ac:dyDescent="0.25">
      <c r="A22" s="1">
        <v>44044</v>
      </c>
      <c r="B22" s="2">
        <v>218.12643399999999</v>
      </c>
      <c r="C22" s="2">
        <v>138.555939</v>
      </c>
      <c r="D22" s="2">
        <v>44.145088000000001</v>
      </c>
      <c r="E22" s="2">
        <v>48.729855000000001</v>
      </c>
      <c r="F22" s="2">
        <v>63.960453000000001</v>
      </c>
    </row>
    <row r="23" spans="1:6" x14ac:dyDescent="0.25">
      <c r="A23" s="1">
        <v>44075</v>
      </c>
      <c r="B23" s="2">
        <v>203.91716</v>
      </c>
      <c r="C23" s="2">
        <v>135.359512</v>
      </c>
      <c r="D23" s="2">
        <v>44.002495000000003</v>
      </c>
      <c r="E23" s="2">
        <v>48.910736</v>
      </c>
      <c r="F23" s="2">
        <v>63.912289000000001</v>
      </c>
    </row>
    <row r="24" spans="1:6" x14ac:dyDescent="0.25">
      <c r="A24" s="1">
        <v>44105</v>
      </c>
      <c r="B24" s="2">
        <v>196.29681400000001</v>
      </c>
      <c r="C24" s="2">
        <v>124.658401</v>
      </c>
      <c r="D24" s="2">
        <v>43.181648000000003</v>
      </c>
      <c r="E24" s="2">
        <v>46.855324000000003</v>
      </c>
      <c r="F24" s="2">
        <v>67.430733000000004</v>
      </c>
    </row>
    <row r="25" spans="1:6" x14ac:dyDescent="0.25">
      <c r="A25" s="1">
        <v>44136</v>
      </c>
      <c r="B25" s="2">
        <v>207.543137</v>
      </c>
      <c r="C25" s="2">
        <v>131.54092399999999</v>
      </c>
      <c r="D25" s="2">
        <v>46.362319999999997</v>
      </c>
      <c r="E25" s="2">
        <v>50.195942000000002</v>
      </c>
      <c r="F25" s="2">
        <v>67.780731000000003</v>
      </c>
    </row>
    <row r="26" spans="1:6" x14ac:dyDescent="0.25">
      <c r="A26" s="1">
        <v>44166</v>
      </c>
      <c r="B26" s="2">
        <v>216.203079</v>
      </c>
      <c r="C26" s="2">
        <v>144.081863</v>
      </c>
      <c r="D26" s="2">
        <v>49.659793999999998</v>
      </c>
      <c r="E26" s="2">
        <v>48.816616000000003</v>
      </c>
      <c r="F26" s="2">
        <v>71.392951999999994</v>
      </c>
    </row>
    <row r="27" spans="1:6" x14ac:dyDescent="0.25">
      <c r="A27" s="1">
        <v>44197</v>
      </c>
      <c r="B27" s="2">
        <v>225.47645600000001</v>
      </c>
      <c r="C27" s="2">
        <v>149.34599299999999</v>
      </c>
      <c r="D27" s="2">
        <v>43.601726999999997</v>
      </c>
      <c r="E27" s="2">
        <v>45.492930999999999</v>
      </c>
      <c r="F27" s="2">
        <v>74.835380999999998</v>
      </c>
    </row>
    <row r="28" spans="1:6" x14ac:dyDescent="0.25">
      <c r="A28" s="1">
        <v>44228</v>
      </c>
      <c r="B28" s="2">
        <v>225.88471999999999</v>
      </c>
      <c r="C28" s="2">
        <v>145.07063299999999</v>
      </c>
      <c r="D28" s="2">
        <v>44.362389</v>
      </c>
      <c r="E28" s="2">
        <v>46.441845000000001</v>
      </c>
      <c r="F28" s="2">
        <v>67.996834000000007</v>
      </c>
    </row>
    <row r="29" spans="1:6" x14ac:dyDescent="0.25">
      <c r="A29" s="1">
        <v>44256</v>
      </c>
      <c r="B29" s="2">
        <v>229.707809</v>
      </c>
      <c r="C29" s="2">
        <v>151.40119899999999</v>
      </c>
      <c r="D29" s="2">
        <v>47.730995</v>
      </c>
      <c r="E29" s="2">
        <v>48.835330999999996</v>
      </c>
      <c r="F29" s="2">
        <v>70.335014000000001</v>
      </c>
    </row>
    <row r="30" spans="1:6" x14ac:dyDescent="0.25">
      <c r="A30" s="1">
        <v>44287</v>
      </c>
      <c r="B30" s="2">
        <v>245.695831</v>
      </c>
      <c r="C30" s="2">
        <v>149.90879799999999</v>
      </c>
      <c r="D30" s="2">
        <v>49.287883999999998</v>
      </c>
      <c r="E30" s="2">
        <v>48.532992999999998</v>
      </c>
      <c r="F30" s="2">
        <v>72.102447999999995</v>
      </c>
    </row>
    <row r="31" spans="1:6" x14ac:dyDescent="0.25">
      <c r="A31" s="1">
        <v>44317</v>
      </c>
      <c r="B31" s="2">
        <v>243.260132</v>
      </c>
      <c r="C31" s="2">
        <v>155.9151</v>
      </c>
      <c r="D31" s="2">
        <v>50.484015999999997</v>
      </c>
      <c r="E31" s="2">
        <v>47.951636999999998</v>
      </c>
      <c r="F31" s="2">
        <v>68.111748000000006</v>
      </c>
    </row>
    <row r="32" spans="1:6" x14ac:dyDescent="0.25">
      <c r="A32" s="1">
        <v>44348</v>
      </c>
      <c r="B32" s="2">
        <v>264.54400600000002</v>
      </c>
      <c r="C32" s="2">
        <v>152.70725999999999</v>
      </c>
      <c r="D32" s="2">
        <v>49.406582</v>
      </c>
      <c r="E32" s="2">
        <v>47.561157000000001</v>
      </c>
      <c r="F32" s="2">
        <v>68.167572000000007</v>
      </c>
    </row>
    <row r="33" spans="1:6" x14ac:dyDescent="0.25">
      <c r="A33" s="1">
        <v>44378</v>
      </c>
      <c r="B33" s="2">
        <v>278.225281</v>
      </c>
      <c r="C33" s="2">
        <v>159.62239099999999</v>
      </c>
      <c r="D33" s="2">
        <v>52.465136999999999</v>
      </c>
      <c r="E33" s="2">
        <v>47.348945999999998</v>
      </c>
      <c r="F33" s="2">
        <v>72.848288999999994</v>
      </c>
    </row>
    <row r="34" spans="1:6" x14ac:dyDescent="0.25">
      <c r="A34" s="1">
        <v>44409</v>
      </c>
      <c r="B34" s="2">
        <v>294.79711900000001</v>
      </c>
      <c r="C34" s="2">
        <v>160.484467</v>
      </c>
      <c r="D34" s="2">
        <v>51.802765000000001</v>
      </c>
      <c r="E34" s="2">
        <v>47.211319000000003</v>
      </c>
      <c r="F34" s="2">
        <v>78.543357999999998</v>
      </c>
    </row>
    <row r="35" spans="1:6" x14ac:dyDescent="0.25">
      <c r="A35" s="1">
        <v>44440</v>
      </c>
      <c r="B35" s="2">
        <v>275.83245799999997</v>
      </c>
      <c r="C35" s="2">
        <v>150.59352100000001</v>
      </c>
      <c r="D35" s="2">
        <v>48.270138000000003</v>
      </c>
      <c r="E35" s="2">
        <v>46.361519000000001</v>
      </c>
      <c r="F35" s="2">
        <v>73.764037999999999</v>
      </c>
    </row>
    <row r="36" spans="1:6" x14ac:dyDescent="0.25">
      <c r="A36" s="1">
        <v>44470</v>
      </c>
      <c r="B36" s="2">
        <v>324.45925899999997</v>
      </c>
      <c r="C36" s="2">
        <v>151.880325</v>
      </c>
      <c r="D36" s="2">
        <v>52.249347999999998</v>
      </c>
      <c r="E36" s="2">
        <v>45.485970000000002</v>
      </c>
      <c r="F36" s="2">
        <v>80.161574999999999</v>
      </c>
    </row>
    <row r="37" spans="1:6" x14ac:dyDescent="0.25">
      <c r="A37" s="1">
        <v>44501</v>
      </c>
      <c r="B37" s="2">
        <v>323.45150799999999</v>
      </c>
      <c r="C37" s="2">
        <v>145.39967300000001</v>
      </c>
      <c r="D37" s="2">
        <v>48.615898000000001</v>
      </c>
      <c r="E37" s="2">
        <v>43.663612000000001</v>
      </c>
      <c r="F37" s="2">
        <v>81.523735000000002</v>
      </c>
    </row>
    <row r="38" spans="1:6" x14ac:dyDescent="0.25">
      <c r="A38" s="1">
        <v>44531</v>
      </c>
      <c r="B38" s="2">
        <v>329.65978999999999</v>
      </c>
      <c r="C38" s="2">
        <v>160.562073</v>
      </c>
      <c r="D38" s="2">
        <v>55.307338999999999</v>
      </c>
      <c r="E38" s="2">
        <v>45.131515999999998</v>
      </c>
      <c r="F38" s="2">
        <v>88.093636000000004</v>
      </c>
    </row>
    <row r="39" spans="1:6" x14ac:dyDescent="0.25">
      <c r="A39" s="1">
        <v>44562</v>
      </c>
      <c r="B39" s="2">
        <v>304.821594</v>
      </c>
      <c r="C39" s="2">
        <v>161.70713799999999</v>
      </c>
      <c r="D39" s="2">
        <v>56.988697000000002</v>
      </c>
      <c r="E39" s="2">
        <v>46.234619000000002</v>
      </c>
      <c r="F39" s="2">
        <v>73.713318000000001</v>
      </c>
    </row>
    <row r="40" spans="1:6" x14ac:dyDescent="0.25">
      <c r="A40" s="1">
        <v>44593</v>
      </c>
      <c r="B40" s="2">
        <v>292.87301600000001</v>
      </c>
      <c r="C40" s="2">
        <v>154.46134900000001</v>
      </c>
      <c r="D40" s="2">
        <v>58.137622999999998</v>
      </c>
      <c r="E40" s="2">
        <v>47.178443999999999</v>
      </c>
      <c r="F40" s="2">
        <v>73.854843000000002</v>
      </c>
    </row>
    <row r="41" spans="1:6" x14ac:dyDescent="0.25">
      <c r="A41" s="1">
        <v>44621</v>
      </c>
      <c r="B41" s="2">
        <v>302.82937600000002</v>
      </c>
      <c r="C41" s="2">
        <v>167.41145299999999</v>
      </c>
      <c r="D41" s="2">
        <v>57.913445000000003</v>
      </c>
      <c r="E41" s="2">
        <v>44.778641</v>
      </c>
      <c r="F41" s="2">
        <v>80.374290000000002</v>
      </c>
    </row>
    <row r="42" spans="1:6" x14ac:dyDescent="0.25">
      <c r="A42" s="1">
        <v>44652</v>
      </c>
      <c r="B42" s="2">
        <v>272.58663899999999</v>
      </c>
      <c r="C42" s="2">
        <v>170.46255500000001</v>
      </c>
      <c r="D42" s="2">
        <v>60.813392999999998</v>
      </c>
      <c r="E42" s="2">
        <v>40.699860000000001</v>
      </c>
      <c r="F42" s="2">
        <v>67.384979000000001</v>
      </c>
    </row>
    <row r="43" spans="1:6" x14ac:dyDescent="0.25">
      <c r="A43" s="1">
        <v>44682</v>
      </c>
      <c r="B43" s="2">
        <v>267.03710899999999</v>
      </c>
      <c r="C43" s="2">
        <v>169.58406099999999</v>
      </c>
      <c r="D43" s="2">
        <v>59.655670000000001</v>
      </c>
      <c r="E43" s="2">
        <v>45.635303</v>
      </c>
      <c r="F43" s="2">
        <v>71.815963999999994</v>
      </c>
    </row>
    <row r="44" spans="1:6" x14ac:dyDescent="0.25">
      <c r="A44" s="1">
        <v>44713</v>
      </c>
      <c r="B44" s="2">
        <v>252.852036</v>
      </c>
      <c r="C44" s="2">
        <v>168.75346400000001</v>
      </c>
      <c r="D44" s="2">
        <v>59.213284000000002</v>
      </c>
      <c r="E44" s="2">
        <v>45.154839000000003</v>
      </c>
      <c r="F44" s="2">
        <v>73.913985999999994</v>
      </c>
    </row>
    <row r="45" spans="1:6" x14ac:dyDescent="0.25">
      <c r="A45" s="1">
        <v>44743</v>
      </c>
      <c r="B45" s="2">
        <v>276.39169299999998</v>
      </c>
      <c r="C45" s="2">
        <v>165.910965</v>
      </c>
      <c r="D45" s="2">
        <v>60.835628999999997</v>
      </c>
      <c r="E45" s="2">
        <v>41.097580000000001</v>
      </c>
      <c r="F45" s="2">
        <v>80.622146999999998</v>
      </c>
    </row>
    <row r="46" spans="1:6" x14ac:dyDescent="0.25">
      <c r="A46" s="1">
        <v>44774</v>
      </c>
      <c r="B46" s="2">
        <v>257.42013500000002</v>
      </c>
      <c r="C46" s="2">
        <v>153.38111900000001</v>
      </c>
      <c r="D46" s="2">
        <v>58.503447999999999</v>
      </c>
      <c r="E46" s="2">
        <v>37.668491000000003</v>
      </c>
      <c r="F46" s="2">
        <v>81.166068999999993</v>
      </c>
    </row>
    <row r="47" spans="1:6" x14ac:dyDescent="0.25">
      <c r="A47" s="1">
        <v>44805</v>
      </c>
      <c r="B47" s="2">
        <v>229.77937299999999</v>
      </c>
      <c r="C47" s="2">
        <v>156.34494000000001</v>
      </c>
      <c r="D47" s="2">
        <v>53.109112000000003</v>
      </c>
      <c r="E47" s="2">
        <v>34.208869999999997</v>
      </c>
      <c r="F47" s="2">
        <v>75.183350000000004</v>
      </c>
    </row>
    <row r="48" spans="1:6" x14ac:dyDescent="0.25">
      <c r="A48" s="1">
        <v>44835</v>
      </c>
      <c r="B48" s="2">
        <v>229.019699</v>
      </c>
      <c r="C48" s="2">
        <v>166.49932899999999</v>
      </c>
      <c r="D48" s="2">
        <v>57.153778000000003</v>
      </c>
      <c r="E48" s="2">
        <v>33.668301</v>
      </c>
      <c r="F48" s="2">
        <v>74.310799000000003</v>
      </c>
    </row>
    <row r="49" spans="1:6" x14ac:dyDescent="0.25">
      <c r="A49" s="1">
        <v>44866</v>
      </c>
      <c r="B49" s="2">
        <v>251.72139000000001</v>
      </c>
      <c r="C49" s="2">
        <v>170.35627700000001</v>
      </c>
      <c r="D49" s="2">
        <v>60.744399999999999</v>
      </c>
      <c r="E49" s="2">
        <v>35.71067</v>
      </c>
      <c r="F49" s="2">
        <v>81.214493000000004</v>
      </c>
    </row>
    <row r="50" spans="1:6" x14ac:dyDescent="0.25">
      <c r="A50" s="1">
        <v>44896</v>
      </c>
      <c r="B50" s="2">
        <v>237.27346800000001</v>
      </c>
      <c r="C50" s="2">
        <v>170.155472</v>
      </c>
      <c r="D50" s="2">
        <v>61.175209000000002</v>
      </c>
      <c r="E50" s="2">
        <v>36.095447999999998</v>
      </c>
      <c r="F50" s="2">
        <v>80.566863999999995</v>
      </c>
    </row>
    <row r="51" spans="1:6" x14ac:dyDescent="0.25">
      <c r="A51" s="1">
        <v>44927</v>
      </c>
      <c r="B51" s="2">
        <v>245.17860400000001</v>
      </c>
      <c r="C51" s="2">
        <v>157.41186500000001</v>
      </c>
      <c r="D51" s="2">
        <v>58.972858000000002</v>
      </c>
      <c r="E51" s="2">
        <v>38.083443000000003</v>
      </c>
      <c r="F51" s="2">
        <v>71.922302000000002</v>
      </c>
    </row>
    <row r="52" spans="1:6" x14ac:dyDescent="0.25">
      <c r="A52" s="1">
        <v>44958</v>
      </c>
      <c r="B52" s="2">
        <v>246.77153000000001</v>
      </c>
      <c r="C52" s="2">
        <v>147.62541200000001</v>
      </c>
      <c r="D52" s="2">
        <v>57.232143000000001</v>
      </c>
      <c r="E52" s="2">
        <v>36.113892</v>
      </c>
      <c r="F52" s="2">
        <v>68.452927000000003</v>
      </c>
    </row>
    <row r="53" spans="1:6" x14ac:dyDescent="0.25">
      <c r="A53" s="1">
        <v>44986</v>
      </c>
      <c r="B53" s="2">
        <v>285.95306399999998</v>
      </c>
      <c r="C53" s="2">
        <v>150.37527499999999</v>
      </c>
      <c r="D53" s="2">
        <v>59.655681999999999</v>
      </c>
      <c r="E53" s="2">
        <v>36.188332000000003</v>
      </c>
      <c r="F53" s="2">
        <v>74.763251999999994</v>
      </c>
    </row>
    <row r="54" spans="1:6" x14ac:dyDescent="0.25">
      <c r="A54" s="1">
        <v>45017</v>
      </c>
      <c r="B54" s="2">
        <v>304.75878899999998</v>
      </c>
      <c r="C54" s="2">
        <v>158.81570400000001</v>
      </c>
      <c r="D54" s="2">
        <v>62.167766999999998</v>
      </c>
      <c r="E54" s="2">
        <v>36.132503999999997</v>
      </c>
      <c r="F54" s="2">
        <v>74.326774999999998</v>
      </c>
    </row>
    <row r="55" spans="1:6" x14ac:dyDescent="0.25">
      <c r="A55" s="1">
        <v>45047</v>
      </c>
      <c r="B55" s="2">
        <v>325.71676600000001</v>
      </c>
      <c r="C55" s="2">
        <v>150.43348700000001</v>
      </c>
      <c r="D55" s="2">
        <v>57.816509000000003</v>
      </c>
      <c r="E55" s="2">
        <v>33.703502999999998</v>
      </c>
      <c r="F55" s="2">
        <v>71.25206</v>
      </c>
    </row>
    <row r="56" spans="1:6" x14ac:dyDescent="0.25">
      <c r="A56" s="1">
        <v>45078</v>
      </c>
      <c r="B56" s="2">
        <v>338.50622600000003</v>
      </c>
      <c r="C56" s="2">
        <v>161.792969</v>
      </c>
      <c r="D56" s="2">
        <v>58.359203000000001</v>
      </c>
      <c r="E56" s="2">
        <v>35.179152999999999</v>
      </c>
      <c r="F56" s="2">
        <v>72.431693999999993</v>
      </c>
    </row>
    <row r="57" spans="1:6" x14ac:dyDescent="0.25">
      <c r="A57" s="1">
        <v>45108</v>
      </c>
      <c r="B57" s="2">
        <v>333.91381799999999</v>
      </c>
      <c r="C57" s="2">
        <v>163.75770600000001</v>
      </c>
      <c r="D57" s="2">
        <v>60.473446000000003</v>
      </c>
      <c r="E57" s="2">
        <v>32.237312000000003</v>
      </c>
      <c r="F57" s="2">
        <v>71.553145999999998</v>
      </c>
    </row>
    <row r="58" spans="1:6" x14ac:dyDescent="0.25">
      <c r="A58" s="1">
        <v>45139</v>
      </c>
      <c r="B58" s="2">
        <v>325.80258199999997</v>
      </c>
      <c r="C58" s="2">
        <v>158.03942900000001</v>
      </c>
      <c r="D58" s="2">
        <v>58.422832</v>
      </c>
      <c r="E58" s="2">
        <v>33.680987999999999</v>
      </c>
      <c r="F58" s="2">
        <v>65.208061000000001</v>
      </c>
    </row>
    <row r="59" spans="1:6" x14ac:dyDescent="0.25">
      <c r="A59" s="1">
        <v>45170</v>
      </c>
      <c r="B59" s="2">
        <v>314.52877799999999</v>
      </c>
      <c r="C59" s="2">
        <v>153.34832800000001</v>
      </c>
      <c r="D59" s="2">
        <v>54.663379999999997</v>
      </c>
      <c r="E59" s="2">
        <v>31.206429</v>
      </c>
      <c r="F59" s="2">
        <v>56.312140999999997</v>
      </c>
    </row>
    <row r="60" spans="1:6" x14ac:dyDescent="0.25">
      <c r="A60" s="1">
        <v>45200</v>
      </c>
      <c r="B60" s="2">
        <v>336.80230699999998</v>
      </c>
      <c r="C60" s="2">
        <v>146.052582</v>
      </c>
      <c r="D60" s="2">
        <v>55.599026000000002</v>
      </c>
      <c r="E60" s="2">
        <v>33.825420000000001</v>
      </c>
      <c r="F60" s="2">
        <v>57.304901000000001</v>
      </c>
    </row>
    <row r="61" spans="1:6" x14ac:dyDescent="0.25">
      <c r="A61" s="1">
        <v>45231</v>
      </c>
      <c r="B61" s="2">
        <v>377.44451900000001</v>
      </c>
      <c r="C61" s="2">
        <v>152.27513099999999</v>
      </c>
      <c r="D61" s="2">
        <v>57.518268999999997</v>
      </c>
      <c r="E61" s="2">
        <v>37.694355000000002</v>
      </c>
      <c r="F61" s="2">
        <v>57.511313999999999</v>
      </c>
    </row>
    <row r="62" spans="1:6" x14ac:dyDescent="0.25">
      <c r="A62" s="1">
        <v>45261</v>
      </c>
      <c r="B62" s="2">
        <v>375.34588600000001</v>
      </c>
      <c r="C62" s="2">
        <v>155.558899</v>
      </c>
      <c r="D62" s="2">
        <v>58.462375999999999</v>
      </c>
      <c r="E62" s="2">
        <v>37.074798999999999</v>
      </c>
      <c r="F62" s="2">
        <v>60.189082999999997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CE25-7B1E-604D-8CC4-25FB013D9F1C}">
  <dimension ref="A1:E61"/>
  <sheetViews>
    <sheetView topLeftCell="A52" zoomScale="200" workbookViewId="0">
      <selection activeCell="E61" sqref="B61:E61"/>
    </sheetView>
  </sheetViews>
  <sheetFormatPr defaultColWidth="11.5" defaultRowHeight="15.75" x14ac:dyDescent="0.25"/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201901</v>
      </c>
      <c r="B2">
        <v>8.4</v>
      </c>
      <c r="C2">
        <v>2.9</v>
      </c>
      <c r="D2">
        <v>-0.46</v>
      </c>
      <c r="E2">
        <v>0.21</v>
      </c>
    </row>
    <row r="3" spans="1:5" x14ac:dyDescent="0.25">
      <c r="A3">
        <v>201902</v>
      </c>
      <c r="B3">
        <v>3.4</v>
      </c>
      <c r="C3">
        <v>2.0499999999999998</v>
      </c>
      <c r="D3">
        <v>-2.67</v>
      </c>
      <c r="E3">
        <v>0.18</v>
      </c>
    </row>
    <row r="4" spans="1:5" x14ac:dyDescent="0.25">
      <c r="A4">
        <v>201903</v>
      </c>
      <c r="B4">
        <v>1.1000000000000001</v>
      </c>
      <c r="C4">
        <v>-3.05</v>
      </c>
      <c r="D4">
        <v>-4.17</v>
      </c>
      <c r="E4">
        <v>0.19</v>
      </c>
    </row>
    <row r="5" spans="1:5" x14ac:dyDescent="0.25">
      <c r="A5">
        <v>201904</v>
      </c>
      <c r="B5">
        <v>3.97</v>
      </c>
      <c r="C5">
        <v>-1.74</v>
      </c>
      <c r="D5">
        <v>2.15</v>
      </c>
      <c r="E5">
        <v>0.21</v>
      </c>
    </row>
    <row r="6" spans="1:5" x14ac:dyDescent="0.25">
      <c r="A6">
        <v>201905</v>
      </c>
      <c r="B6">
        <v>-6.94</v>
      </c>
      <c r="C6">
        <v>-1.32</v>
      </c>
      <c r="D6">
        <v>-2.37</v>
      </c>
      <c r="E6">
        <v>0.21</v>
      </c>
    </row>
    <row r="7" spans="1:5" x14ac:dyDescent="0.25">
      <c r="A7">
        <v>201906</v>
      </c>
      <c r="B7">
        <v>6.93</v>
      </c>
      <c r="C7">
        <v>0.28999999999999998</v>
      </c>
      <c r="D7">
        <v>-0.71</v>
      </c>
      <c r="E7">
        <v>0.18</v>
      </c>
    </row>
    <row r="8" spans="1:5" x14ac:dyDescent="0.25">
      <c r="A8">
        <v>201907</v>
      </c>
      <c r="B8">
        <v>1.19</v>
      </c>
      <c r="C8">
        <v>-1.93</v>
      </c>
      <c r="D8">
        <v>0.48</v>
      </c>
      <c r="E8">
        <v>0.19</v>
      </c>
    </row>
    <row r="9" spans="1:5" x14ac:dyDescent="0.25">
      <c r="A9">
        <v>201908</v>
      </c>
      <c r="B9">
        <v>-2.58</v>
      </c>
      <c r="C9">
        <v>-2.38</v>
      </c>
      <c r="D9">
        <v>-4.78</v>
      </c>
      <c r="E9">
        <v>0.16</v>
      </c>
    </row>
    <row r="10" spans="1:5" x14ac:dyDescent="0.25">
      <c r="A10">
        <v>201909</v>
      </c>
      <c r="B10">
        <v>1.43</v>
      </c>
      <c r="C10">
        <v>-0.96</v>
      </c>
      <c r="D10">
        <v>6.75</v>
      </c>
      <c r="E10">
        <v>0.18</v>
      </c>
    </row>
    <row r="11" spans="1:5" x14ac:dyDescent="0.25">
      <c r="A11">
        <v>201910</v>
      </c>
      <c r="B11">
        <v>2.06</v>
      </c>
      <c r="C11">
        <v>0.28999999999999998</v>
      </c>
      <c r="D11">
        <v>-1.91</v>
      </c>
      <c r="E11">
        <v>0.16</v>
      </c>
    </row>
    <row r="12" spans="1:5" x14ac:dyDescent="0.25">
      <c r="A12">
        <v>201911</v>
      </c>
      <c r="B12">
        <v>3.87</v>
      </c>
      <c r="C12">
        <v>0.77</v>
      </c>
      <c r="D12">
        <v>-2.02</v>
      </c>
      <c r="E12">
        <v>0.12</v>
      </c>
    </row>
    <row r="13" spans="1:5" x14ac:dyDescent="0.25">
      <c r="A13">
        <v>201912</v>
      </c>
      <c r="B13">
        <v>2.77</v>
      </c>
      <c r="C13">
        <v>0.73</v>
      </c>
      <c r="D13">
        <v>1.75</v>
      </c>
      <c r="E13">
        <v>0.14000000000000001</v>
      </c>
    </row>
    <row r="14" spans="1:5" x14ac:dyDescent="0.25">
      <c r="A14">
        <v>202001</v>
      </c>
      <c r="B14">
        <v>-0.11</v>
      </c>
      <c r="C14">
        <v>-3.11</v>
      </c>
      <c r="D14">
        <v>-6.25</v>
      </c>
      <c r="E14">
        <v>0.13</v>
      </c>
    </row>
    <row r="15" spans="1:5" x14ac:dyDescent="0.25">
      <c r="A15">
        <v>202002</v>
      </c>
      <c r="B15">
        <v>-8.1300000000000008</v>
      </c>
      <c r="C15">
        <v>1.07</v>
      </c>
      <c r="D15">
        <v>-3.81</v>
      </c>
      <c r="E15">
        <v>0.12</v>
      </c>
    </row>
    <row r="16" spans="1:5" x14ac:dyDescent="0.25">
      <c r="A16">
        <v>202003</v>
      </c>
      <c r="B16">
        <v>-13.39</v>
      </c>
      <c r="C16">
        <v>-4.83</v>
      </c>
      <c r="D16">
        <v>-13.87</v>
      </c>
      <c r="E16">
        <v>0.13</v>
      </c>
    </row>
    <row r="17" spans="1:5" x14ac:dyDescent="0.25">
      <c r="A17">
        <v>202004</v>
      </c>
      <c r="B17">
        <v>13.65</v>
      </c>
      <c r="C17">
        <v>2.4500000000000002</v>
      </c>
      <c r="D17">
        <v>-1.33</v>
      </c>
      <c r="E17">
        <v>0</v>
      </c>
    </row>
    <row r="18" spans="1:5" x14ac:dyDescent="0.25">
      <c r="A18">
        <v>202005</v>
      </c>
      <c r="B18">
        <v>5.58</v>
      </c>
      <c r="C18">
        <v>2.4700000000000002</v>
      </c>
      <c r="D18">
        <v>-4.88</v>
      </c>
      <c r="E18">
        <v>0.01</v>
      </c>
    </row>
    <row r="19" spans="1:5" x14ac:dyDescent="0.25">
      <c r="A19">
        <v>202006</v>
      </c>
      <c r="B19">
        <v>2.46</v>
      </c>
      <c r="C19">
        <v>2.69</v>
      </c>
      <c r="D19">
        <v>-2.2000000000000002</v>
      </c>
      <c r="E19">
        <v>0.01</v>
      </c>
    </row>
    <row r="20" spans="1:5" x14ac:dyDescent="0.25">
      <c r="A20">
        <v>202007</v>
      </c>
      <c r="B20">
        <v>5.77</v>
      </c>
      <c r="C20">
        <v>-2.33</v>
      </c>
      <c r="D20">
        <v>-1.41</v>
      </c>
      <c r="E20">
        <v>0.01</v>
      </c>
    </row>
    <row r="21" spans="1:5" x14ac:dyDescent="0.25">
      <c r="A21">
        <v>202008</v>
      </c>
      <c r="B21">
        <v>7.63</v>
      </c>
      <c r="C21">
        <v>-0.22</v>
      </c>
      <c r="D21">
        <v>-2.97</v>
      </c>
      <c r="E21">
        <v>0.01</v>
      </c>
    </row>
    <row r="22" spans="1:5" x14ac:dyDescent="0.25">
      <c r="A22">
        <v>202009</v>
      </c>
      <c r="B22">
        <v>-3.63</v>
      </c>
      <c r="C22">
        <v>0.02</v>
      </c>
      <c r="D22">
        <v>-2.71</v>
      </c>
      <c r="E22">
        <v>0.01</v>
      </c>
    </row>
    <row r="23" spans="1:5" x14ac:dyDescent="0.25">
      <c r="A23">
        <v>202010</v>
      </c>
      <c r="B23">
        <v>-2.1</v>
      </c>
      <c r="C23">
        <v>4.38</v>
      </c>
      <c r="D23">
        <v>4.25</v>
      </c>
      <c r="E23">
        <v>0.01</v>
      </c>
    </row>
    <row r="24" spans="1:5" x14ac:dyDescent="0.25">
      <c r="A24">
        <v>202011</v>
      </c>
      <c r="B24">
        <v>12.47</v>
      </c>
      <c r="C24">
        <v>5.8</v>
      </c>
      <c r="D24">
        <v>2.09</v>
      </c>
      <c r="E24">
        <v>0.01</v>
      </c>
    </row>
    <row r="25" spans="1:5" x14ac:dyDescent="0.25">
      <c r="A25">
        <v>202012</v>
      </c>
      <c r="B25">
        <v>4.63</v>
      </c>
      <c r="C25">
        <v>4.8899999999999997</v>
      </c>
      <c r="D25">
        <v>-1.51</v>
      </c>
      <c r="E25">
        <v>0.01</v>
      </c>
    </row>
    <row r="26" spans="1:5" x14ac:dyDescent="0.25">
      <c r="A26">
        <v>202101</v>
      </c>
      <c r="B26">
        <v>-0.03</v>
      </c>
      <c r="C26">
        <v>7.36</v>
      </c>
      <c r="D26">
        <v>3.01</v>
      </c>
      <c r="E26">
        <v>0.01</v>
      </c>
    </row>
    <row r="27" spans="1:5" x14ac:dyDescent="0.25">
      <c r="A27">
        <v>202102</v>
      </c>
      <c r="B27">
        <v>2.78</v>
      </c>
      <c r="C27">
        <v>2.0499999999999998</v>
      </c>
      <c r="D27">
        <v>7.15</v>
      </c>
      <c r="E27">
        <v>0</v>
      </c>
    </row>
    <row r="28" spans="1:5" x14ac:dyDescent="0.25">
      <c r="A28">
        <v>202103</v>
      </c>
      <c r="B28">
        <v>3.08</v>
      </c>
      <c r="C28">
        <v>-2.37</v>
      </c>
      <c r="D28">
        <v>7.39</v>
      </c>
      <c r="E28">
        <v>0</v>
      </c>
    </row>
    <row r="29" spans="1:5" x14ac:dyDescent="0.25">
      <c r="A29">
        <v>202104</v>
      </c>
      <c r="B29">
        <v>4.93</v>
      </c>
      <c r="C29">
        <v>-3.19</v>
      </c>
      <c r="D29">
        <v>-0.95</v>
      </c>
      <c r="E29">
        <v>0</v>
      </c>
    </row>
    <row r="30" spans="1:5" x14ac:dyDescent="0.25">
      <c r="A30">
        <v>202105</v>
      </c>
      <c r="B30">
        <v>0.28999999999999998</v>
      </c>
      <c r="C30">
        <v>-0.25</v>
      </c>
      <c r="D30">
        <v>7.09</v>
      </c>
      <c r="E30">
        <v>0</v>
      </c>
    </row>
    <row r="31" spans="1:5" x14ac:dyDescent="0.25">
      <c r="A31">
        <v>202106</v>
      </c>
      <c r="B31">
        <v>2.75</v>
      </c>
      <c r="C31">
        <v>1.68</v>
      </c>
      <c r="D31">
        <v>-7.87</v>
      </c>
      <c r="E31">
        <v>0</v>
      </c>
    </row>
    <row r="32" spans="1:5" x14ac:dyDescent="0.25">
      <c r="A32">
        <v>202107</v>
      </c>
      <c r="B32">
        <v>1.27</v>
      </c>
      <c r="C32">
        <v>-3.97</v>
      </c>
      <c r="D32">
        <v>-1.78</v>
      </c>
      <c r="E32">
        <v>0</v>
      </c>
    </row>
    <row r="33" spans="1:5" x14ac:dyDescent="0.25">
      <c r="A33">
        <v>202108</v>
      </c>
      <c r="B33">
        <v>2.91</v>
      </c>
      <c r="C33">
        <v>-0.42</v>
      </c>
      <c r="D33">
        <v>-0.15</v>
      </c>
      <c r="E33">
        <v>0</v>
      </c>
    </row>
    <row r="34" spans="1:5" x14ac:dyDescent="0.25">
      <c r="A34">
        <v>202109</v>
      </c>
      <c r="B34">
        <v>-4.37</v>
      </c>
      <c r="C34">
        <v>0.71</v>
      </c>
      <c r="D34">
        <v>5.08</v>
      </c>
      <c r="E34">
        <v>0</v>
      </c>
    </row>
    <row r="35" spans="1:5" x14ac:dyDescent="0.25">
      <c r="A35">
        <v>202110</v>
      </c>
      <c r="B35">
        <v>6.65</v>
      </c>
      <c r="C35">
        <v>-2.35</v>
      </c>
      <c r="D35">
        <v>-0.49</v>
      </c>
      <c r="E35">
        <v>0</v>
      </c>
    </row>
    <row r="36" spans="1:5" x14ac:dyDescent="0.25">
      <c r="A36">
        <v>202111</v>
      </c>
      <c r="B36">
        <v>-1.55</v>
      </c>
      <c r="C36">
        <v>-1.32</v>
      </c>
      <c r="D36">
        <v>-0.45</v>
      </c>
      <c r="E36">
        <v>0</v>
      </c>
    </row>
    <row r="37" spans="1:5" x14ac:dyDescent="0.25">
      <c r="A37">
        <v>202112</v>
      </c>
      <c r="B37">
        <v>3.1</v>
      </c>
      <c r="C37">
        <v>-1.67</v>
      </c>
      <c r="D37">
        <v>3.26</v>
      </c>
      <c r="E37">
        <v>0.01</v>
      </c>
    </row>
    <row r="38" spans="1:5" x14ac:dyDescent="0.25">
      <c r="A38">
        <v>202201</v>
      </c>
      <c r="B38">
        <v>-6.25</v>
      </c>
      <c r="C38">
        <v>-5.94</v>
      </c>
      <c r="D38">
        <v>12.75</v>
      </c>
      <c r="E38">
        <v>0</v>
      </c>
    </row>
    <row r="39" spans="1:5" x14ac:dyDescent="0.25">
      <c r="A39">
        <v>202202</v>
      </c>
      <c r="B39">
        <v>-2.29</v>
      </c>
      <c r="C39">
        <v>2.19</v>
      </c>
      <c r="D39">
        <v>3.08</v>
      </c>
      <c r="E39">
        <v>0</v>
      </c>
    </row>
    <row r="40" spans="1:5" x14ac:dyDescent="0.25">
      <c r="A40">
        <v>202203</v>
      </c>
      <c r="B40">
        <v>3.05</v>
      </c>
      <c r="C40">
        <v>-1.61</v>
      </c>
      <c r="D40">
        <v>-1.81</v>
      </c>
      <c r="E40">
        <v>0.01</v>
      </c>
    </row>
    <row r="41" spans="1:5" x14ac:dyDescent="0.25">
      <c r="A41">
        <v>202204</v>
      </c>
      <c r="B41">
        <v>-9.4600000000000009</v>
      </c>
      <c r="C41">
        <v>-1.39</v>
      </c>
      <c r="D41">
        <v>6.17</v>
      </c>
      <c r="E41">
        <v>0.01</v>
      </c>
    </row>
    <row r="42" spans="1:5" x14ac:dyDescent="0.25">
      <c r="A42">
        <v>202205</v>
      </c>
      <c r="B42">
        <v>-0.34</v>
      </c>
      <c r="C42">
        <v>-1.83</v>
      </c>
      <c r="D42">
        <v>8.39</v>
      </c>
      <c r="E42">
        <v>0.03</v>
      </c>
    </row>
    <row r="43" spans="1:5" x14ac:dyDescent="0.25">
      <c r="A43">
        <v>202206</v>
      </c>
      <c r="B43">
        <v>-8.43</v>
      </c>
      <c r="C43">
        <v>2.1</v>
      </c>
      <c r="D43">
        <v>-5.97</v>
      </c>
      <c r="E43">
        <v>0.06</v>
      </c>
    </row>
    <row r="44" spans="1:5" x14ac:dyDescent="0.25">
      <c r="A44">
        <v>202207</v>
      </c>
      <c r="B44">
        <v>9.57</v>
      </c>
      <c r="C44">
        <v>2.81</v>
      </c>
      <c r="D44">
        <v>-4.05</v>
      </c>
      <c r="E44">
        <v>0.08</v>
      </c>
    </row>
    <row r="45" spans="1:5" x14ac:dyDescent="0.25">
      <c r="A45">
        <v>202208</v>
      </c>
      <c r="B45">
        <v>-3.77</v>
      </c>
      <c r="C45">
        <v>1.4</v>
      </c>
      <c r="D45">
        <v>0.28999999999999998</v>
      </c>
      <c r="E45">
        <v>0.19</v>
      </c>
    </row>
    <row r="46" spans="1:5" x14ac:dyDescent="0.25">
      <c r="A46">
        <v>202209</v>
      </c>
      <c r="B46">
        <v>-9.35</v>
      </c>
      <c r="C46">
        <v>-0.81</v>
      </c>
      <c r="D46">
        <v>0.05</v>
      </c>
      <c r="E46">
        <v>0.19</v>
      </c>
    </row>
    <row r="47" spans="1:5" x14ac:dyDescent="0.25">
      <c r="A47">
        <v>202210</v>
      </c>
      <c r="B47">
        <v>7.83</v>
      </c>
      <c r="C47">
        <v>0.06</v>
      </c>
      <c r="D47">
        <v>8.01</v>
      </c>
      <c r="E47">
        <v>0.23</v>
      </c>
    </row>
    <row r="48" spans="1:5" x14ac:dyDescent="0.25">
      <c r="A48">
        <v>202211</v>
      </c>
      <c r="B48">
        <v>4.5999999999999996</v>
      </c>
      <c r="C48">
        <v>-3.52</v>
      </c>
      <c r="D48">
        <v>1.38</v>
      </c>
      <c r="E48">
        <v>0.28999999999999998</v>
      </c>
    </row>
    <row r="49" spans="1:5" x14ac:dyDescent="0.25">
      <c r="A49">
        <v>202212</v>
      </c>
      <c r="B49">
        <v>-6.41</v>
      </c>
      <c r="C49">
        <v>-0.69</v>
      </c>
      <c r="D49">
        <v>1.37</v>
      </c>
      <c r="E49">
        <v>0.33</v>
      </c>
    </row>
    <row r="50" spans="1:5" x14ac:dyDescent="0.25">
      <c r="A50">
        <v>202301</v>
      </c>
      <c r="B50">
        <v>6.65</v>
      </c>
      <c r="C50">
        <v>5.01</v>
      </c>
      <c r="D50">
        <v>-4.01</v>
      </c>
      <c r="E50">
        <v>0.35</v>
      </c>
    </row>
    <row r="51" spans="1:5" x14ac:dyDescent="0.25">
      <c r="A51">
        <v>202302</v>
      </c>
      <c r="B51">
        <v>-2.58</v>
      </c>
      <c r="C51">
        <v>1.17</v>
      </c>
      <c r="D51">
        <v>-0.81</v>
      </c>
      <c r="E51">
        <v>0.34</v>
      </c>
    </row>
    <row r="52" spans="1:5" x14ac:dyDescent="0.25">
      <c r="A52">
        <v>202303</v>
      </c>
      <c r="B52">
        <v>2.5099999999999998</v>
      </c>
      <c r="C52">
        <v>-5.51</v>
      </c>
      <c r="D52">
        <v>-8.85</v>
      </c>
      <c r="E52">
        <v>0.36</v>
      </c>
    </row>
    <row r="53" spans="1:5" x14ac:dyDescent="0.25">
      <c r="A53">
        <v>202304</v>
      </c>
      <c r="B53">
        <v>0.61</v>
      </c>
      <c r="C53">
        <v>-3.35</v>
      </c>
      <c r="D53">
        <v>-0.04</v>
      </c>
      <c r="E53">
        <v>0.35</v>
      </c>
    </row>
    <row r="54" spans="1:5" x14ac:dyDescent="0.25">
      <c r="A54">
        <v>202305</v>
      </c>
      <c r="B54">
        <v>0.35</v>
      </c>
      <c r="C54">
        <v>1.61</v>
      </c>
      <c r="D54">
        <v>-7.72</v>
      </c>
      <c r="E54">
        <v>0.36</v>
      </c>
    </row>
    <row r="55" spans="1:5" x14ac:dyDescent="0.25">
      <c r="A55">
        <v>202306</v>
      </c>
      <c r="B55">
        <v>6.46</v>
      </c>
      <c r="C55">
        <v>1.54</v>
      </c>
      <c r="D55">
        <v>-0.26</v>
      </c>
      <c r="E55">
        <v>0.4</v>
      </c>
    </row>
    <row r="56" spans="1:5" x14ac:dyDescent="0.25">
      <c r="A56">
        <v>202307</v>
      </c>
      <c r="B56">
        <v>3.21</v>
      </c>
      <c r="C56">
        <v>2.08</v>
      </c>
      <c r="D56">
        <v>4.1100000000000003</v>
      </c>
      <c r="E56">
        <v>0.45</v>
      </c>
    </row>
    <row r="57" spans="1:5" x14ac:dyDescent="0.25">
      <c r="A57">
        <v>202308</v>
      </c>
      <c r="B57">
        <v>-2.39</v>
      </c>
      <c r="C57">
        <v>-3.16</v>
      </c>
      <c r="D57">
        <v>-1.06</v>
      </c>
      <c r="E57">
        <v>0.45</v>
      </c>
    </row>
    <row r="58" spans="1:5" x14ac:dyDescent="0.25">
      <c r="A58">
        <v>202309</v>
      </c>
      <c r="B58">
        <v>-5.24</v>
      </c>
      <c r="C58">
        <v>-2.5099999999999998</v>
      </c>
      <c r="D58">
        <v>1.52</v>
      </c>
      <c r="E58">
        <v>0.43</v>
      </c>
    </row>
    <row r="59" spans="1:5" x14ac:dyDescent="0.25">
      <c r="A59">
        <v>202310</v>
      </c>
      <c r="B59">
        <v>-3.19</v>
      </c>
      <c r="C59">
        <v>-3.87</v>
      </c>
      <c r="D59">
        <v>0.19</v>
      </c>
      <c r="E59">
        <v>0.47</v>
      </c>
    </row>
    <row r="60" spans="1:5" x14ac:dyDescent="0.25">
      <c r="A60">
        <v>202311</v>
      </c>
      <c r="B60">
        <v>8.84</v>
      </c>
      <c r="C60">
        <v>-0.02</v>
      </c>
      <c r="D60">
        <v>1.64</v>
      </c>
      <c r="E60">
        <v>0.44</v>
      </c>
    </row>
    <row r="61" spans="1:5" x14ac:dyDescent="0.25">
      <c r="A61">
        <v>202312</v>
      </c>
      <c r="B61">
        <v>4.8499999999999996</v>
      </c>
      <c r="C61">
        <v>6.34</v>
      </c>
      <c r="D61">
        <v>4.93</v>
      </c>
      <c r="E61">
        <v>0.43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D139-2CB8-A345-A3F7-96E9299BE8F4}">
  <dimension ref="A1:K62"/>
  <sheetViews>
    <sheetView workbookViewId="0">
      <selection activeCell="K4" sqref="K4"/>
    </sheetView>
  </sheetViews>
  <sheetFormatPr defaultColWidth="11.5" defaultRowHeight="15.75" x14ac:dyDescent="0.25"/>
  <cols>
    <col min="2" max="11" width="10.875" style="2"/>
  </cols>
  <sheetData>
    <row r="1" spans="1:11" x14ac:dyDescent="0.25">
      <c r="A1" s="1" t="s">
        <v>0</v>
      </c>
      <c r="B1" s="97" t="s">
        <v>1</v>
      </c>
      <c r="C1" s="97"/>
      <c r="D1" s="97" t="s">
        <v>2</v>
      </c>
      <c r="E1" s="97"/>
      <c r="F1" s="97" t="s">
        <v>8</v>
      </c>
      <c r="G1" s="97"/>
      <c r="H1" s="97" t="s">
        <v>3</v>
      </c>
      <c r="I1" s="97"/>
      <c r="J1" s="97" t="s">
        <v>113</v>
      </c>
      <c r="K1" s="97"/>
    </row>
    <row r="2" spans="1:11" x14ac:dyDescent="0.25">
      <c r="B2" s="2" t="s">
        <v>9</v>
      </c>
      <c r="C2" s="2" t="s">
        <v>10</v>
      </c>
      <c r="D2" s="2" t="s">
        <v>9</v>
      </c>
      <c r="E2" s="2" t="s">
        <v>10</v>
      </c>
      <c r="F2" s="2" t="s">
        <v>9</v>
      </c>
      <c r="G2" s="2" t="s">
        <v>10</v>
      </c>
      <c r="H2" s="2" t="s">
        <v>9</v>
      </c>
      <c r="I2" s="2" t="s">
        <v>10</v>
      </c>
      <c r="J2" s="2" t="s">
        <v>9</v>
      </c>
      <c r="K2" s="2" t="s">
        <v>10</v>
      </c>
    </row>
    <row r="3" spans="1:11" x14ac:dyDescent="0.25">
      <c r="A3" s="1">
        <v>43466</v>
      </c>
      <c r="B3" s="2">
        <f>100*(Prices!B3/Prices!B2-1)</f>
        <v>2.8157880347869035</v>
      </c>
      <c r="C3" s="2">
        <f>B3-'Fama-French '!$E2</f>
        <v>2.6057880347869036</v>
      </c>
      <c r="D3" s="2">
        <f>100*(Prices!C3/Prices!C2-1)</f>
        <v>3.1228131361133116</v>
      </c>
      <c r="E3" s="2">
        <f>D3-'Fama-French '!$E2</f>
        <v>2.9128131361133116</v>
      </c>
      <c r="F3" s="2">
        <f>100*(Prices!D3/Prices!D2-1)</f>
        <v>1.6473288026812138</v>
      </c>
      <c r="G3" s="2">
        <f>F3-'Fama-French '!$E2</f>
        <v>1.4373288026812139</v>
      </c>
      <c r="H3" s="2">
        <f>100*(Prices!E3/Prices!E2-1)</f>
        <v>-2.0633245847130111</v>
      </c>
      <c r="I3" s="2">
        <f>H3-'Fama-French '!$E2</f>
        <v>-2.273324584713011</v>
      </c>
      <c r="J3" s="2">
        <f>100*(Prices!F3/Prices!F2-1)</f>
        <v>2.9685718352018053</v>
      </c>
      <c r="K3" s="2">
        <f>J3-'Fama-French '!$E2</f>
        <v>2.7585718352018054</v>
      </c>
    </row>
    <row r="4" spans="1:11" x14ac:dyDescent="0.25">
      <c r="A4" s="1">
        <v>43497</v>
      </c>
      <c r="B4" s="2">
        <f>100*(Prices!B4/Prices!B3-1)</f>
        <v>7.2776144658543318</v>
      </c>
      <c r="C4" s="2">
        <f>B4-'Fama-French '!$E3</f>
        <v>7.0976144658543321</v>
      </c>
      <c r="D4" s="2">
        <f>100*(Prices!C4/Prices!C3-1)</f>
        <v>2.6750726997402774</v>
      </c>
      <c r="E4" s="2">
        <f>D4-'Fama-French '!$E3</f>
        <v>2.4950726997402772</v>
      </c>
      <c r="F4" s="2">
        <f>100*(Prices!D4/Prices!D3-1)</f>
        <v>-5.7968105100711709</v>
      </c>
      <c r="G4" s="2">
        <f>F4-'Fama-French '!$E3</f>
        <v>-5.9768105100711706</v>
      </c>
      <c r="H4" s="2">
        <f>100*(Prices!E4/Prices!E3-1)</f>
        <v>4.4570156147317963</v>
      </c>
      <c r="I4" s="2">
        <f>H4-'Fama-French '!$E3</f>
        <v>4.2770156147317966</v>
      </c>
      <c r="J4" s="2">
        <f>100*(Prices!F4/Prices!F3-1)</f>
        <v>4.8832473241525065</v>
      </c>
      <c r="K4" s="2">
        <f>J4-'Fama-French '!$E3</f>
        <v>4.7032473241525068</v>
      </c>
    </row>
    <row r="5" spans="1:11" x14ac:dyDescent="0.25">
      <c r="A5" s="1">
        <v>43525</v>
      </c>
      <c r="B5" s="2">
        <f>100*(Prices!B5/Prices!B4-1)</f>
        <v>5.7249656860106413</v>
      </c>
      <c r="C5" s="2">
        <f>B5-'Fama-French '!$E4</f>
        <v>5.5349656860106409</v>
      </c>
      <c r="D5" s="2">
        <f>100*(Prices!C5/Prices!C4-1)</f>
        <v>2.9838431556528322</v>
      </c>
      <c r="E5" s="2">
        <f>D5-'Fama-French '!$E4</f>
        <v>2.7938431556528323</v>
      </c>
      <c r="F5" s="2">
        <f>100*(Prices!D5/Prices!D4-1)</f>
        <v>3.3524574262296492</v>
      </c>
      <c r="G5" s="2">
        <f>F5-'Fama-French '!$E4</f>
        <v>3.1624574262296492</v>
      </c>
      <c r="H5" s="2">
        <f>100*(Prices!E5/Prices!E4-1)</f>
        <v>3.8827014095824675</v>
      </c>
      <c r="I5" s="2">
        <f>H5-'Fama-French '!$E4</f>
        <v>3.6927014095824675</v>
      </c>
      <c r="J5" s="2">
        <f>100*(Prices!F5/Prices!F4-1)</f>
        <v>3.6716447476814462</v>
      </c>
      <c r="K5" s="2">
        <f>J5-'Fama-French '!$E4</f>
        <v>3.4816447476814463</v>
      </c>
    </row>
    <row r="6" spans="1:11" x14ac:dyDescent="0.25">
      <c r="A6" s="1">
        <v>43556</v>
      </c>
      <c r="B6" s="2">
        <f>100*(Prices!B6/Prices!B5-1)</f>
        <v>10.734298419447462</v>
      </c>
      <c r="C6" s="2">
        <f>B6-'Fama-French '!$E5</f>
        <v>10.524298419447462</v>
      </c>
      <c r="D6" s="2">
        <f>100*(Prices!C6/Prices!C5-1)</f>
        <v>1.0086493097201776</v>
      </c>
      <c r="E6" s="2">
        <f>D6-'Fama-French '!$E5</f>
        <v>0.79864930972017767</v>
      </c>
      <c r="F6" s="2">
        <f>100*(Prices!D6/Prices!D5-1)</f>
        <v>5.6087835392999441</v>
      </c>
      <c r="G6" s="2">
        <f>F6-'Fama-French '!$E5</f>
        <v>5.3987835392999441</v>
      </c>
      <c r="H6" s="2">
        <f>100*(Prices!E6/Prices!E5-1)</f>
        <v>-3.2809220115060933</v>
      </c>
      <c r="I6" s="2">
        <f>H6-'Fama-French '!$E5</f>
        <v>-3.4909220115060933</v>
      </c>
      <c r="J6" s="2">
        <f>100*(Prices!F6/Prices!F5-1)</f>
        <v>0.57932666807656297</v>
      </c>
      <c r="K6" s="2">
        <f>J6-'Fama-French '!$E5</f>
        <v>0.369326668076563</v>
      </c>
    </row>
    <row r="7" spans="1:11" x14ac:dyDescent="0.25">
      <c r="A7" s="1">
        <v>43586</v>
      </c>
      <c r="B7" s="2">
        <f>100*(Prices!B7/Prices!B6-1)</f>
        <v>-5.2986462392817231</v>
      </c>
      <c r="C7" s="2">
        <f>B7-'Fama-French '!$E6</f>
        <v>-5.508646239281723</v>
      </c>
      <c r="D7" s="2">
        <f>100*(Prices!C7/Prices!C6-1)</f>
        <v>-7.1175631145614204</v>
      </c>
      <c r="E7" s="2">
        <f>D7-'Fama-French '!$E6</f>
        <v>-7.3275631145614204</v>
      </c>
      <c r="F7" s="2">
        <f>100*(Prices!D7/Prices!D6-1)</f>
        <v>0.14268820055556297</v>
      </c>
      <c r="G7" s="2">
        <f>F7-'Fama-French '!$E6</f>
        <v>-6.731179944443702E-2</v>
      </c>
      <c r="H7" s="2">
        <f>100*(Prices!E7/Prices!E6-1)</f>
        <v>-3.9867815169258969</v>
      </c>
      <c r="I7" s="2">
        <f>H7-'Fama-French '!$E6</f>
        <v>-4.1967815169258973</v>
      </c>
      <c r="J7" s="2">
        <f>100*(Prices!F7/Prices!F6-1)</f>
        <v>1.9388938303258607</v>
      </c>
      <c r="K7" s="2">
        <f>J7-'Fama-French '!$E6</f>
        <v>1.7288938303258607</v>
      </c>
    </row>
    <row r="8" spans="1:11" x14ac:dyDescent="0.25">
      <c r="A8" s="1">
        <v>43617</v>
      </c>
      <c r="B8" s="2">
        <f>100*(Prices!B8/Prices!B7-1)</f>
        <v>8.7127158249038938</v>
      </c>
      <c r="C8" s="2">
        <f>B8-'Fama-French '!$E7</f>
        <v>8.5327158249038941</v>
      </c>
      <c r="D8" s="2">
        <f>100*(Prices!C8/Prices!C7-1)</f>
        <v>6.9256858412428901</v>
      </c>
      <c r="E8" s="2">
        <f>D8-'Fama-French '!$E7</f>
        <v>6.7456858412428904</v>
      </c>
      <c r="F8" s="2">
        <f>100*(Prices!D8/Prices!D7-1)</f>
        <v>3.6433802098141177</v>
      </c>
      <c r="G8" s="2">
        <f>F8-'Fama-French '!$E7</f>
        <v>3.4633802098141175</v>
      </c>
      <c r="H8" s="2">
        <f>100*(Prices!E8/Prices!E7-1)</f>
        <v>5.1149990812117796</v>
      </c>
      <c r="I8" s="2">
        <f>H8-'Fama-French '!$E7</f>
        <v>4.9349990812117799</v>
      </c>
      <c r="J8" s="2">
        <f>100*(Prices!F8/Prices!F7-1)</f>
        <v>4.0085664451460667</v>
      </c>
      <c r="K8" s="2">
        <f>J8-'Fama-French '!$E7</f>
        <v>3.8285664451460666</v>
      </c>
    </row>
    <row r="9" spans="1:11" x14ac:dyDescent="0.25">
      <c r="A9" s="1">
        <v>43647</v>
      </c>
      <c r="B9" s="2">
        <f>100*(Prices!B9/Prices!B8-1)</f>
        <v>1.7243813275990671</v>
      </c>
      <c r="C9" s="2">
        <f>B9-'Fama-French '!$E8</f>
        <v>1.5343813275990672</v>
      </c>
      <c r="D9" s="2">
        <f>100*(Prices!C9/Prices!C8-1)</f>
        <v>-6.5049040640949514</v>
      </c>
      <c r="E9" s="2">
        <f>D9-'Fama-French '!$E8</f>
        <v>-6.6949040640949518</v>
      </c>
      <c r="F9" s="2">
        <f>100*(Prices!D9/Prices!D8-1)</f>
        <v>4.1650819066670008</v>
      </c>
      <c r="G9" s="2">
        <f>F9-'Fama-French '!$E8</f>
        <v>3.9750819066670009</v>
      </c>
      <c r="H9" s="2">
        <f>100*(Prices!E9/Prices!E8-1)</f>
        <v>-3.2557542790531357</v>
      </c>
      <c r="I9" s="2">
        <f>H9-'Fama-French '!$E8</f>
        <v>-3.4457542790531357</v>
      </c>
      <c r="J9" s="2">
        <f>100*(Prices!F9/Prices!F8-1)</f>
        <v>1.1276029190380177</v>
      </c>
      <c r="K9" s="2">
        <f>J9-'Fama-French '!$E8</f>
        <v>0.93760291903801773</v>
      </c>
    </row>
    <row r="10" spans="1:11" x14ac:dyDescent="0.25">
      <c r="A10" s="1">
        <v>43678</v>
      </c>
      <c r="B10" s="2">
        <f>100*(Prices!B10/Prices!B9-1)</f>
        <v>1.1667956621123077</v>
      </c>
      <c r="C10" s="2">
        <f>B10-'Fama-French '!$E9</f>
        <v>1.0067956621123078</v>
      </c>
      <c r="D10" s="2">
        <f>100*(Prices!C10/Prices!C9-1)</f>
        <v>-1.428326648045386</v>
      </c>
      <c r="E10" s="2">
        <f>D10-'Fama-French '!$E9</f>
        <v>-1.5883266480453859</v>
      </c>
      <c r="F10" s="2">
        <f>100*(Prices!D10/Prices!D9-1)</f>
        <v>4.5791205527753842</v>
      </c>
      <c r="G10" s="2">
        <f>F10-'Fama-French '!$E9</f>
        <v>4.4191205527753841</v>
      </c>
      <c r="H10" s="2">
        <f>100*(Prices!E10/Prices!E9-1)</f>
        <v>6.336531482350094</v>
      </c>
      <c r="I10" s="2">
        <f>H10-'Fama-French '!$E9</f>
        <v>6.1765314823500939</v>
      </c>
      <c r="J10" s="2">
        <f>100*(Prices!F10/Prices!F9-1)</f>
        <v>5.7489016455386288</v>
      </c>
      <c r="K10" s="2">
        <f>J10-'Fama-French '!$E9</f>
        <v>5.5889016455386287</v>
      </c>
    </row>
    <row r="11" spans="1:11" x14ac:dyDescent="0.25">
      <c r="A11" s="1">
        <v>43709</v>
      </c>
      <c r="B11" s="2">
        <f>100*(Prices!B11/Prices!B10-1)</f>
        <v>1.1845251572800475</v>
      </c>
      <c r="C11" s="2">
        <f>B11-'Fama-French '!$E10</f>
        <v>1.0045251572800475</v>
      </c>
      <c r="D11" s="2">
        <f>100*(Prices!C11/Prices!C10-1)</f>
        <v>1.5499220610549758</v>
      </c>
      <c r="E11" s="2">
        <f>D11-'Fama-French '!$E10</f>
        <v>1.3699220610549758</v>
      </c>
      <c r="F11" s="2">
        <f>100*(Prices!D11/Prices!D10-1)</f>
        <v>-1.0901075741609811</v>
      </c>
      <c r="G11" s="2">
        <f>F11-'Fama-French '!$E10</f>
        <v>-1.2701075741609811</v>
      </c>
      <c r="H11" s="2">
        <f>100*(Prices!E11/Prices!E10-1)</f>
        <v>3.7826633617630057</v>
      </c>
      <c r="I11" s="2">
        <f>H11-'Fama-French '!$E10</f>
        <v>3.6026633617630055</v>
      </c>
      <c r="J11" s="2">
        <f>100*(Prices!F11/Prices!F10-1)</f>
        <v>6.9460516773729886</v>
      </c>
      <c r="K11" s="2">
        <f>J11-'Fama-French '!$E10</f>
        <v>6.7660516773729888</v>
      </c>
    </row>
    <row r="12" spans="1:11" x14ac:dyDescent="0.25">
      <c r="A12" s="1">
        <v>43739</v>
      </c>
      <c r="B12" s="2">
        <f>100*(Prices!B12/Prices!B11-1)</f>
        <v>3.1216254621200701</v>
      </c>
      <c r="C12" s="2">
        <f>B12-'Fama-French '!$E11</f>
        <v>2.9616254621200699</v>
      </c>
      <c r="D12" s="2">
        <f>100*(Prices!C12/Prices!C11-1)</f>
        <v>2.0559550577064156</v>
      </c>
      <c r="E12" s="2">
        <f>D12-'Fama-French '!$E11</f>
        <v>1.8959550577064157</v>
      </c>
      <c r="F12" s="2">
        <f>100*(Prices!D12/Prices!D11-1)</f>
        <v>0.71261657918237908</v>
      </c>
      <c r="G12" s="2">
        <f>F12-'Fama-French '!$E11</f>
        <v>0.55261657918237905</v>
      </c>
      <c r="H12" s="2">
        <f>100*(Prices!E12/Prices!E11-1)</f>
        <v>0.18223292676013969</v>
      </c>
      <c r="I12" s="2">
        <f>H12-'Fama-French '!$E11</f>
        <v>2.2232926760139687E-2</v>
      </c>
      <c r="J12" s="2">
        <f>100*(Prices!F12/Prices!F11-1)</f>
        <v>2.2962221290665275</v>
      </c>
      <c r="K12" s="2">
        <f>J12-'Fama-French '!$E11</f>
        <v>2.1362221290665273</v>
      </c>
    </row>
    <row r="13" spans="1:11" x14ac:dyDescent="0.25">
      <c r="A13" s="1">
        <v>43770</v>
      </c>
      <c r="B13" s="2">
        <f>100*(Prices!B13/Prices!B12-1)</f>
        <v>5.5869273154911747</v>
      </c>
      <c r="C13" s="2">
        <f>B13-'Fama-French '!$E12</f>
        <v>5.4669273154911746</v>
      </c>
      <c r="D13" s="2">
        <f>100*(Prices!C13/Prices!C12-1)</f>
        <v>4.1275477758956791</v>
      </c>
      <c r="E13" s="2">
        <f>D13-'Fama-French '!$E12</f>
        <v>4.007547775895679</v>
      </c>
      <c r="F13" s="2">
        <f>100*(Prices!D13/Prices!D12-1)</f>
        <v>-1.8923209313083222</v>
      </c>
      <c r="G13" s="2">
        <f>F13-'Fama-French '!$E12</f>
        <v>-2.0123209313083223</v>
      </c>
      <c r="H13" s="2">
        <f>100*(Prices!E13/Prices!E12-1)</f>
        <v>0.65622709467172413</v>
      </c>
      <c r="I13" s="2">
        <f>H13-'Fama-French '!$E12</f>
        <v>0.53622709467172414</v>
      </c>
      <c r="J13" s="2">
        <f>100*(Prices!F13/Prices!F12-1)</f>
        <v>-1.8964547515012087</v>
      </c>
      <c r="K13" s="2">
        <f>J13-'Fama-French '!$E12</f>
        <v>-2.0164547515012088</v>
      </c>
    </row>
    <row r="14" spans="1:11" x14ac:dyDescent="0.25">
      <c r="A14" s="1">
        <v>43800</v>
      </c>
      <c r="B14" s="2">
        <f>100*(Prices!B14/Prices!B13-1)</f>
        <v>4.5294105936060314</v>
      </c>
      <c r="C14" s="2">
        <f>B14-'Fama-French '!$E13</f>
        <v>4.3894105936060317</v>
      </c>
      <c r="D14" s="2">
        <f>100*(Prices!C14/Prices!C13-1)</f>
        <v>6.8299887487856648</v>
      </c>
      <c r="E14" s="2">
        <f>D14-'Fama-French '!$E13</f>
        <v>6.6899887487856651</v>
      </c>
      <c r="F14" s="2">
        <f>100*(Prices!D14/Prices!D13-1)</f>
        <v>4.4259189277836564</v>
      </c>
      <c r="G14" s="2">
        <f>F14-'Fama-French '!$E13</f>
        <v>4.2859189277836567</v>
      </c>
      <c r="H14" s="2">
        <f>100*(Prices!E14/Prices!E13-1)</f>
        <v>1.9256299239541752</v>
      </c>
      <c r="I14" s="2">
        <f>H14-'Fama-French '!$E13</f>
        <v>1.7856299239541751</v>
      </c>
      <c r="J14" s="2">
        <f>100*(Prices!F14/Prices!F13-1)</f>
        <v>4.1208854733528533</v>
      </c>
      <c r="K14" s="2">
        <f>J14-'Fama-French '!$E13</f>
        <v>3.9808854733528531</v>
      </c>
    </row>
    <row r="15" spans="1:11" x14ac:dyDescent="0.25">
      <c r="A15" s="1">
        <v>43831</v>
      </c>
      <c r="B15" s="2">
        <f>100*(Prices!B15/Prices!B14-1)</f>
        <v>7.9454642363385286</v>
      </c>
      <c r="C15" s="2">
        <f>B15-'Fama-French '!$E14</f>
        <v>7.8154642363385287</v>
      </c>
      <c r="D15" s="2">
        <f>100*(Prices!C15/Prices!C14-1)</f>
        <v>2.0566690085133787</v>
      </c>
      <c r="E15" s="2">
        <f>D15-'Fama-French '!$E14</f>
        <v>1.9266690085133789</v>
      </c>
      <c r="F15" s="2">
        <f>100*(Prices!D15/Prices!D14-1)</f>
        <v>5.510396523149641</v>
      </c>
      <c r="G15" s="2">
        <f>F15-'Fama-French '!$E14</f>
        <v>5.3803965231496411</v>
      </c>
      <c r="H15" s="2">
        <f>100*(Prices!E15/Prices!E14-1)</f>
        <v>-3.1921938789027049</v>
      </c>
      <c r="I15" s="2">
        <f>H15-'Fama-French '!$E14</f>
        <v>-3.3221938789027048</v>
      </c>
      <c r="J15" s="2">
        <f>100*(Prices!F15/Prices!F14-1)</f>
        <v>10.753225958131839</v>
      </c>
      <c r="K15" s="2">
        <f>J15-'Fama-French '!$E14</f>
        <v>10.623225958131838</v>
      </c>
    </row>
    <row r="16" spans="1:11" x14ac:dyDescent="0.25">
      <c r="A16" s="1">
        <v>43862</v>
      </c>
      <c r="B16" s="2">
        <f>100*(Prices!B16/Prices!B15-1)</f>
        <v>-4.8287491800355848</v>
      </c>
      <c r="C16" s="2">
        <f>B16-'Fama-French '!$E15</f>
        <v>-4.9487491800355849</v>
      </c>
      <c r="D16" s="2">
        <f>100*(Prices!C16/Prices!C15-1)</f>
        <v>-9.6661501429484922</v>
      </c>
      <c r="E16" s="2">
        <f>D16-'Fama-French '!$E15</f>
        <v>-9.7861501429484914</v>
      </c>
      <c r="F16" s="2">
        <f>100*(Prices!D16/Prices!D15-1)</f>
        <v>-8.4075378411014654</v>
      </c>
      <c r="G16" s="2">
        <f>F16-'Fama-French '!$E15</f>
        <v>-8.5275378411014646</v>
      </c>
      <c r="H16" s="2">
        <f>100*(Prices!E16/Prices!E15-1)</f>
        <v>-7.9346409214946849</v>
      </c>
      <c r="I16" s="2">
        <f>H16-'Fama-French '!$E15</f>
        <v>-8.0546409214946841</v>
      </c>
      <c r="J16" s="2">
        <f>100*(Prices!F16/Prices!F15-1)</f>
        <v>-5.7569015124517069</v>
      </c>
      <c r="K16" s="2">
        <f>J16-'Fama-French '!$E15</f>
        <v>-5.876901512451707</v>
      </c>
    </row>
    <row r="17" spans="1:11" x14ac:dyDescent="0.25">
      <c r="A17" s="1">
        <v>43891</v>
      </c>
      <c r="B17" s="2">
        <f>100*(Prices!B17/Prices!B16-1)</f>
        <v>-2.3882726515227493</v>
      </c>
      <c r="C17" s="2">
        <f>B17-'Fama-French '!$E16</f>
        <v>-2.5182726515227492</v>
      </c>
      <c r="D17" s="2">
        <f>100*(Prices!C17/Prices!C16-1)</f>
        <v>-1.8693034182312718</v>
      </c>
      <c r="E17" s="2">
        <f>D17-'Fama-French '!$E16</f>
        <v>-1.9993034182312717</v>
      </c>
      <c r="F17" s="2">
        <f>100*(Prices!D17/Prices!D16-1)</f>
        <v>-17.274262307171938</v>
      </c>
      <c r="G17" s="2">
        <f>F17-'Fama-French '!$E16</f>
        <v>-17.404262307171937</v>
      </c>
      <c r="H17" s="2">
        <f>100*(Prices!E17/Prices!E16-1)</f>
        <v>-0.7939344930705583</v>
      </c>
      <c r="I17" s="2">
        <f>H17-'Fama-French '!$E16</f>
        <v>-0.9239344930705583</v>
      </c>
      <c r="J17" s="2">
        <f>100*(Prices!F17/Prices!F16-1)</f>
        <v>-4.3058060917887664</v>
      </c>
      <c r="K17" s="2">
        <f>J17-'Fama-French '!$E16</f>
        <v>-4.4358060917887663</v>
      </c>
    </row>
    <row r="18" spans="1:11" x14ac:dyDescent="0.25">
      <c r="A18" s="1">
        <v>43922</v>
      </c>
      <c r="B18" s="2">
        <f>100*(Prices!B18/Prices!B17-1)</f>
        <v>13.632611516409575</v>
      </c>
      <c r="C18" s="2">
        <f>B18-'Fama-French '!$E17</f>
        <v>13.632611516409575</v>
      </c>
      <c r="D18" s="2">
        <f>100*(Prices!C18/Prices!C17-1)</f>
        <v>14.420802232830709</v>
      </c>
      <c r="E18" s="2">
        <f>D18-'Fama-French '!$E17</f>
        <v>14.420802232830709</v>
      </c>
      <c r="F18" s="2">
        <f>100*(Prices!D18/Prices!D17-1)</f>
        <v>4.6157096262234409</v>
      </c>
      <c r="G18" s="2">
        <f>F18-'Fama-French '!$E17</f>
        <v>4.6157096262234409</v>
      </c>
      <c r="H18" s="2">
        <f>100*(Prices!E18/Prices!E17-1)</f>
        <v>6.9234807099553208</v>
      </c>
      <c r="I18" s="2">
        <f>H18-'Fama-French '!$E17</f>
        <v>6.9234807099553208</v>
      </c>
      <c r="J18" s="2">
        <f>100*(Prices!F18/Prices!F17-1)</f>
        <v>-3.9481408607542789</v>
      </c>
      <c r="K18" s="2">
        <f>J18-'Fama-French '!$E17</f>
        <v>-3.9481408607542789</v>
      </c>
    </row>
    <row r="19" spans="1:11" x14ac:dyDescent="0.25">
      <c r="A19" s="1">
        <v>43952</v>
      </c>
      <c r="B19" s="2">
        <f>100*(Prices!B19/Prices!B18-1)</f>
        <v>2.2543412904228122</v>
      </c>
      <c r="C19" s="2">
        <f>B19-'Fama-French '!$E18</f>
        <v>2.2443412904228124</v>
      </c>
      <c r="D19" s="2">
        <f>100*(Prices!C19/Prices!C18-1)</f>
        <v>-0.85977105768445528</v>
      </c>
      <c r="E19" s="2">
        <f>D19-'Fama-French '!$E18</f>
        <v>-0.86977105768445528</v>
      </c>
      <c r="F19" s="2">
        <f>100*(Prices!D19/Prices!D18-1)</f>
        <v>1.7215108838460003</v>
      </c>
      <c r="G19" s="2">
        <f>F19-'Fama-French '!$E18</f>
        <v>1.7115108838460003</v>
      </c>
      <c r="H19" s="2">
        <f>100*(Prices!E19/Prices!E18-1)</f>
        <v>0.95232009411931884</v>
      </c>
      <c r="I19" s="2">
        <f>H19-'Fama-French '!$E18</f>
        <v>0.94232009411931883</v>
      </c>
      <c r="J19" s="2">
        <f>100*(Prices!F19/Prices!F18-1)</f>
        <v>10.574591191729654</v>
      </c>
      <c r="K19" s="2">
        <f>J19-'Fama-French '!$E18</f>
        <v>10.564591191729654</v>
      </c>
    </row>
    <row r="20" spans="1:11" x14ac:dyDescent="0.25">
      <c r="A20" s="1">
        <v>43983</v>
      </c>
      <c r="B20" s="2">
        <f>100*(Prices!B20/Prices!B19-1)</f>
        <v>11.365233991562684</v>
      </c>
      <c r="C20" s="2">
        <f>B20-'Fama-French '!$E19</f>
        <v>11.355233991562685</v>
      </c>
      <c r="D20" s="2">
        <f>100*(Prices!C20/Prices!C19-1)</f>
        <v>-4.8034472753309636</v>
      </c>
      <c r="E20" s="2">
        <f>D20-'Fama-French '!$E19</f>
        <v>-4.8134472753309634</v>
      </c>
      <c r="F20" s="2">
        <f>100*(Prices!D20/Prices!D19-1)</f>
        <v>-4.2844780955861523</v>
      </c>
      <c r="G20" s="2">
        <f>F20-'Fama-French '!$E19</f>
        <v>-4.2944780955861521</v>
      </c>
      <c r="H20" s="2">
        <f>100*(Prices!E20/Prices!E19-1)</f>
        <v>-3.9212451649250468</v>
      </c>
      <c r="I20" s="2">
        <f>H20-'Fama-French '!$E19</f>
        <v>-3.9312451649250466</v>
      </c>
      <c r="J20" s="2">
        <f>100*(Prices!F20/Prices!F19-1)</f>
        <v>-6.0220685671474534</v>
      </c>
      <c r="K20" s="2">
        <f>J20-'Fama-French '!$E19</f>
        <v>-6.0320685671474532</v>
      </c>
    </row>
    <row r="21" spans="1:11" x14ac:dyDescent="0.25">
      <c r="A21" s="1">
        <v>44013</v>
      </c>
      <c r="B21" s="2">
        <f>100*(Prices!B21/Prices!B20-1)</f>
        <v>0.73704931125599948</v>
      </c>
      <c r="C21" s="2">
        <f>B21-'Fama-French '!$E20</f>
        <v>0.72704931125599948</v>
      </c>
      <c r="D21" s="2">
        <f>100*(Prices!C21/Prices!C20-1)</f>
        <v>3.6478662475339041</v>
      </c>
      <c r="E21" s="2">
        <f>D21-'Fama-French '!$E20</f>
        <v>3.6378662475339043</v>
      </c>
      <c r="F21" s="2">
        <f>100*(Prices!D21/Prices!D20-1)</f>
        <v>6.6901742505675044</v>
      </c>
      <c r="G21" s="2">
        <f>F21-'Fama-French '!$E20</f>
        <v>6.6801742505675046</v>
      </c>
      <c r="H21" s="2">
        <f>100*(Prices!E21/Prices!E20-1)</f>
        <v>4.2626522924408494</v>
      </c>
      <c r="I21" s="2">
        <f>H21-'Fama-French '!$E20</f>
        <v>4.2526522924408496</v>
      </c>
      <c r="J21" s="2">
        <f>100*(Prices!F21/Prices!F20-1)</f>
        <v>17.519344938130786</v>
      </c>
      <c r="K21" s="2">
        <f>J21-'Fama-French '!$E20</f>
        <v>17.509344938130784</v>
      </c>
    </row>
    <row r="22" spans="1:11" x14ac:dyDescent="0.25">
      <c r="A22" s="1">
        <v>44044</v>
      </c>
      <c r="B22" s="2">
        <f>100*(Prices!B22/Prices!B21-1)</f>
        <v>10.00928086408539</v>
      </c>
      <c r="C22" s="2">
        <f>B22-'Fama-French '!$E21</f>
        <v>9.9992808640853905</v>
      </c>
      <c r="D22" s="2">
        <f>100*(Prices!C22/Prices!C21-1)</f>
        <v>5.2483575503310176</v>
      </c>
      <c r="E22" s="2">
        <f>D22-'Fama-French '!$E21</f>
        <v>5.2383575503310178</v>
      </c>
      <c r="F22" s="2">
        <f>100*(Prices!D22/Prices!D21-1)</f>
        <v>4.8475775293979284</v>
      </c>
      <c r="G22" s="2">
        <f>F22-'Fama-French '!$E21</f>
        <v>4.8375775293979286</v>
      </c>
      <c r="H22" s="2">
        <f>100*(Prices!E22/Prices!E21-1)</f>
        <v>4.2720892080441608</v>
      </c>
      <c r="I22" s="2">
        <f>H22-'Fama-French '!$E21</f>
        <v>4.262089208044161</v>
      </c>
      <c r="J22" s="2">
        <f>100*(Prices!F22/Prices!F21-1)</f>
        <v>-0.54506392367874579</v>
      </c>
      <c r="K22" s="2">
        <f>J22-'Fama-French '!$E21</f>
        <v>-0.5550639236787458</v>
      </c>
    </row>
    <row r="23" spans="1:11" x14ac:dyDescent="0.25">
      <c r="A23" s="1">
        <v>44075</v>
      </c>
      <c r="B23" s="2">
        <f>100*(Prices!B23/Prices!B22-1)</f>
        <v>-6.5142375178608543</v>
      </c>
      <c r="C23" s="2">
        <f>B23-'Fama-French '!$E22</f>
        <v>-6.524237517860854</v>
      </c>
      <c r="D23" s="2">
        <f>100*(Prices!C23/Prices!C22-1)</f>
        <v>-2.3069577695980281</v>
      </c>
      <c r="E23" s="2">
        <f>D23-'Fama-French '!$E22</f>
        <v>-2.3169577695980279</v>
      </c>
      <c r="F23" s="2">
        <f>100*(Prices!D23/Prices!D22-1)</f>
        <v>-0.32300988957140175</v>
      </c>
      <c r="G23" s="2">
        <f>F23-'Fama-French '!$E22</f>
        <v>-0.33300988957140176</v>
      </c>
      <c r="H23" s="2">
        <f>100*(Prices!E23/Prices!E22-1)</f>
        <v>0.37119133639942348</v>
      </c>
      <c r="I23" s="2">
        <f>H23-'Fama-French '!$E22</f>
        <v>0.36119133639942347</v>
      </c>
      <c r="J23" s="2">
        <f>100*(Prices!F23/Prices!F22-1)</f>
        <v>-7.5302781235775385E-2</v>
      </c>
      <c r="K23" s="2">
        <f>J23-'Fama-French '!$E22</f>
        <v>-8.530278123577538E-2</v>
      </c>
    </row>
    <row r="24" spans="1:11" x14ac:dyDescent="0.25">
      <c r="A24" s="1">
        <v>44105</v>
      </c>
      <c r="B24" s="2">
        <f>100*(Prices!B24/Prices!B23-1)</f>
        <v>-3.7369812329673402</v>
      </c>
      <c r="C24" s="2">
        <f>B24-'Fama-French '!$E23</f>
        <v>-3.74698123296734</v>
      </c>
      <c r="D24" s="2">
        <f>100*(Prices!C24/Prices!C23-1)</f>
        <v>-7.9056956115503674</v>
      </c>
      <c r="E24" s="2">
        <f>D24-'Fama-French '!$E23</f>
        <v>-7.9156956115503672</v>
      </c>
      <c r="F24" s="2">
        <f>100*(Prices!D24/Prices!D23-1)</f>
        <v>-1.865455583825415</v>
      </c>
      <c r="G24" s="2">
        <f>F24-'Fama-French '!$E23</f>
        <v>-1.875455583825415</v>
      </c>
      <c r="H24" s="2">
        <f>100*(Prices!E24/Prices!E23-1)</f>
        <v>-4.2023738918997244</v>
      </c>
      <c r="I24" s="2">
        <f>H24-'Fama-French '!$E23</f>
        <v>-4.2123738918997242</v>
      </c>
      <c r="J24" s="2">
        <f>100*(Prices!F24/Prices!F23-1)</f>
        <v>5.5051134219273656</v>
      </c>
      <c r="K24" s="2">
        <f>J24-'Fama-French '!$E23</f>
        <v>5.4951134219273658</v>
      </c>
    </row>
    <row r="25" spans="1:11" x14ac:dyDescent="0.25">
      <c r="A25" s="1">
        <v>44136</v>
      </c>
      <c r="B25" s="2">
        <f>100*(Prices!B25/Prices!B24-1)</f>
        <v>5.7292437767227256</v>
      </c>
      <c r="C25" s="2">
        <f>B25-'Fama-French '!$E24</f>
        <v>5.7192437767227258</v>
      </c>
      <c r="D25" s="2">
        <f>100*(Prices!C25/Prices!C24-1)</f>
        <v>5.5211064354980799</v>
      </c>
      <c r="E25" s="2">
        <f>D25-'Fama-French '!$E24</f>
        <v>5.5111064354980801</v>
      </c>
      <c r="F25" s="2">
        <f>100*(Prices!D25/Prices!D24-1)</f>
        <v>7.3657957658308737</v>
      </c>
      <c r="G25" s="2">
        <f>F25-'Fama-French '!$E24</f>
        <v>7.3557957658308739</v>
      </c>
      <c r="H25" s="2">
        <f>100*(Prices!E25/Prices!E24-1)</f>
        <v>7.1296444348565302</v>
      </c>
      <c r="I25" s="2">
        <f>H25-'Fama-French '!$E24</f>
        <v>7.1196444348565304</v>
      </c>
      <c r="J25" s="2">
        <f>100*(Prices!F25/Prices!F24-1)</f>
        <v>0.51904819127503998</v>
      </c>
      <c r="K25" s="2">
        <f>J25-'Fama-French '!$E24</f>
        <v>0.50904819127503997</v>
      </c>
    </row>
    <row r="26" spans="1:11" x14ac:dyDescent="0.25">
      <c r="A26" s="1">
        <v>44166</v>
      </c>
      <c r="B26" s="2">
        <f>100*(Prices!B26/Prices!B25-1)</f>
        <v>4.1725985860953774</v>
      </c>
      <c r="C26" s="2">
        <f>B26-'Fama-French '!$E25</f>
        <v>4.1625985860953776</v>
      </c>
      <c r="D26" s="2">
        <f>100*(Prices!C26/Prices!C25-1)</f>
        <v>9.5338687144998389</v>
      </c>
      <c r="E26" s="2">
        <f>D26-'Fama-French '!$E25</f>
        <v>9.5238687144998391</v>
      </c>
      <c r="F26" s="2">
        <f>100*(Prices!D26/Prices!D25-1)</f>
        <v>7.1124007599274508</v>
      </c>
      <c r="G26" s="2">
        <f>F26-'Fama-French '!$E25</f>
        <v>7.102400759927451</v>
      </c>
      <c r="H26" s="2">
        <f>100*(Prices!E26/Prices!E25-1)</f>
        <v>-2.7478834842864397</v>
      </c>
      <c r="I26" s="2">
        <f>H26-'Fama-French '!$E25</f>
        <v>-2.7578834842864395</v>
      </c>
      <c r="J26" s="2">
        <f>100*(Prices!F26/Prices!F25-1)</f>
        <v>5.3292741856088677</v>
      </c>
      <c r="K26" s="2">
        <f>J26-'Fama-French '!$E25</f>
        <v>5.3192741856088679</v>
      </c>
    </row>
    <row r="27" spans="1:11" x14ac:dyDescent="0.25">
      <c r="A27" s="1">
        <v>44197</v>
      </c>
      <c r="B27" s="2">
        <f>100*(Prices!B27/Prices!B26-1)</f>
        <v>4.289197472529982</v>
      </c>
      <c r="C27" s="2">
        <f>B27-'Fama-French '!$E26</f>
        <v>4.2791974725299822</v>
      </c>
      <c r="D27" s="2">
        <f>100*(Prices!C27/Prices!C26-1)</f>
        <v>3.6535688048397796</v>
      </c>
      <c r="E27" s="2">
        <f>D27-'Fama-French '!$E26</f>
        <v>3.6435688048397799</v>
      </c>
      <c r="F27" s="2">
        <f>100*(Prices!D27/Prices!D26-1)</f>
        <v>-12.199138401580967</v>
      </c>
      <c r="G27" s="2">
        <f>F27-'Fama-French '!$E26</f>
        <v>-12.209138401580967</v>
      </c>
      <c r="H27" s="2">
        <f>100*(Prices!E27/Prices!E26-1)</f>
        <v>-6.8085116756147261</v>
      </c>
      <c r="I27" s="2">
        <f>H27-'Fama-French '!$E26</f>
        <v>-6.8185116756147259</v>
      </c>
      <c r="J27" s="2">
        <f>100*(Prices!F27/Prices!F26-1)</f>
        <v>4.8218050991924333</v>
      </c>
      <c r="K27" s="2">
        <f>J27-'Fama-French '!$E26</f>
        <v>4.8118050991924335</v>
      </c>
    </row>
    <row r="28" spans="1:11" x14ac:dyDescent="0.25">
      <c r="A28" s="1">
        <v>44228</v>
      </c>
      <c r="B28" s="2">
        <f>100*(Prices!B28/Prices!B27-1)</f>
        <v>0.18106724189419499</v>
      </c>
      <c r="C28" s="2">
        <f>B28-'Fama-French '!$E27</f>
        <v>0.18106724189419499</v>
      </c>
      <c r="D28" s="2">
        <f>100*(Prices!C28/Prices!C27-1)</f>
        <v>-2.8627215997686695</v>
      </c>
      <c r="E28" s="2">
        <f>D28-'Fama-French '!$E27</f>
        <v>-2.8627215997686695</v>
      </c>
      <c r="F28" s="2">
        <f>100*(Prices!D28/Prices!D27-1)</f>
        <v>1.744568512160094</v>
      </c>
      <c r="G28" s="2">
        <f>F28-'Fama-French '!$E27</f>
        <v>1.744568512160094</v>
      </c>
      <c r="H28" s="2">
        <f>100*(Prices!E28/Prices!E27-1)</f>
        <v>2.0858493377795329</v>
      </c>
      <c r="I28" s="2">
        <f>H28-'Fama-French '!$E27</f>
        <v>2.0858493377795329</v>
      </c>
      <c r="J28" s="2">
        <f>100*(Prices!F28/Prices!F27-1)</f>
        <v>-9.1381201092568638</v>
      </c>
      <c r="K28" s="2">
        <f>J28-'Fama-French '!$E27</f>
        <v>-9.1381201092568638</v>
      </c>
    </row>
    <row r="29" spans="1:11" x14ac:dyDescent="0.25">
      <c r="A29" s="1">
        <v>44256</v>
      </c>
      <c r="B29" s="2">
        <f>100*(Prices!B29/Prices!B28-1)</f>
        <v>1.6924956234312782</v>
      </c>
      <c r="C29" s="2">
        <f>B29-'Fama-French '!$E28</f>
        <v>1.6924956234312782</v>
      </c>
      <c r="D29" s="2">
        <f>100*(Prices!C29/Prices!C28-1)</f>
        <v>4.3637818827191532</v>
      </c>
      <c r="E29" s="2">
        <f>D29-'Fama-French '!$E28</f>
        <v>4.3637818827191532</v>
      </c>
      <c r="F29" s="2">
        <f>100*(Prices!D29/Prices!D28-1)</f>
        <v>7.5933827639444784</v>
      </c>
      <c r="G29" s="2">
        <f>F29-'Fama-French '!$E28</f>
        <v>7.5933827639444784</v>
      </c>
      <c r="H29" s="2">
        <f>100*(Prices!E29/Prices!E28-1)</f>
        <v>5.1537272044209104</v>
      </c>
      <c r="I29" s="2">
        <f>H29-'Fama-French '!$E28</f>
        <v>5.1537272044209104</v>
      </c>
      <c r="J29" s="2">
        <f>100*(Prices!F29/Prices!F28-1)</f>
        <v>3.43866009996876</v>
      </c>
      <c r="K29" s="2">
        <f>J29-'Fama-French '!$E28</f>
        <v>3.43866009996876</v>
      </c>
    </row>
    <row r="30" spans="1:11" x14ac:dyDescent="0.25">
      <c r="A30" s="1">
        <v>44287</v>
      </c>
      <c r="B30" s="2">
        <f>100*(Prices!B30/Prices!B29-1)</f>
        <v>6.9601560650469629</v>
      </c>
      <c r="C30" s="2">
        <f>B30-'Fama-French '!$E29</f>
        <v>6.9601560650469629</v>
      </c>
      <c r="D30" s="2">
        <f>100*(Prices!C30/Prices!C29-1)</f>
        <v>-0.98572601132438376</v>
      </c>
      <c r="E30" s="2">
        <f>D30-'Fama-French '!$E29</f>
        <v>-0.98572601132438376</v>
      </c>
      <c r="F30" s="2">
        <f>100*(Prices!D30/Prices!D29-1)</f>
        <v>3.2617987536191162</v>
      </c>
      <c r="G30" s="2">
        <f>F30-'Fama-French '!$E29</f>
        <v>3.2617987536191162</v>
      </c>
      <c r="H30" s="2">
        <f>100*(Prices!E30/Prices!E29-1)</f>
        <v>-0.61909685837903128</v>
      </c>
      <c r="I30" s="2">
        <f>H30-'Fama-French '!$E29</f>
        <v>-0.61909685837903128</v>
      </c>
      <c r="J30" s="2">
        <f>100*(Prices!F30/Prices!F29-1)</f>
        <v>2.5128792893963192</v>
      </c>
      <c r="K30" s="2">
        <f>J30-'Fama-French '!$E29</f>
        <v>2.5128792893963192</v>
      </c>
    </row>
    <row r="31" spans="1:11" x14ac:dyDescent="0.25">
      <c r="A31" s="1">
        <v>44317</v>
      </c>
      <c r="B31" s="2">
        <f>100*(Prices!B31/Prices!B30-1)</f>
        <v>-0.9913473053598576</v>
      </c>
      <c r="C31" s="2">
        <f>B31-'Fama-French '!$E30</f>
        <v>-0.9913473053598576</v>
      </c>
      <c r="D31" s="2">
        <f>100*(Prices!C31/Prices!C30-1)</f>
        <v>4.0066374223079348</v>
      </c>
      <c r="E31" s="2">
        <f>D31-'Fama-French '!$E30</f>
        <v>4.0066374223079348</v>
      </c>
      <c r="F31" s="2">
        <f>100*(Prices!D31/Prices!D30-1)</f>
        <v>2.4268276560624802</v>
      </c>
      <c r="G31" s="2">
        <f>F31-'Fama-French '!$E30</f>
        <v>2.4268276560624802</v>
      </c>
      <c r="H31" s="2">
        <f>100*(Prices!E31/Prices!E30-1)</f>
        <v>-1.1978573009086779</v>
      </c>
      <c r="I31" s="2">
        <f>H31-'Fama-French '!$E30</f>
        <v>-1.1978573009086779</v>
      </c>
      <c r="J31" s="2">
        <f>100*(Prices!F31/Prices!F30-1)</f>
        <v>-5.5347635353517948</v>
      </c>
      <c r="K31" s="2">
        <f>J31-'Fama-French '!$E30</f>
        <v>-5.5347635353517948</v>
      </c>
    </row>
    <row r="32" spans="1:11" x14ac:dyDescent="0.25">
      <c r="A32" s="1">
        <v>44348</v>
      </c>
      <c r="B32" s="2">
        <f>100*(Prices!B32/Prices!B31-1)</f>
        <v>8.7494296023813867</v>
      </c>
      <c r="C32" s="2">
        <f>B32-'Fama-French '!$E31</f>
        <v>8.7494296023813867</v>
      </c>
      <c r="D32" s="2">
        <f>100*(Prices!C32/Prices!C31-1)</f>
        <v>-2.0574274076083698</v>
      </c>
      <c r="E32" s="2">
        <f>D32-'Fama-French '!$E31</f>
        <v>-2.0574274076083698</v>
      </c>
      <c r="F32" s="2">
        <f>100*(Prices!D32/Prices!D31-1)</f>
        <v>-2.1342081818530367</v>
      </c>
      <c r="G32" s="2">
        <f>F32-'Fama-French '!$E31</f>
        <v>-2.1342081818530367</v>
      </c>
      <c r="H32" s="2">
        <f>100*(Prices!E32/Prices!E31-1)</f>
        <v>-0.81432047877738611</v>
      </c>
      <c r="I32" s="2">
        <f>H32-'Fama-French '!$E31</f>
        <v>-0.81432047877738611</v>
      </c>
      <c r="J32" s="2">
        <f>100*(Prices!F32/Prices!F31-1)</f>
        <v>8.1959429377742588E-2</v>
      </c>
      <c r="K32" s="2">
        <f>J32-'Fama-French '!$E31</f>
        <v>8.1959429377742588E-2</v>
      </c>
    </row>
    <row r="33" spans="1:11" x14ac:dyDescent="0.25">
      <c r="A33" s="1">
        <v>44378</v>
      </c>
      <c r="B33" s="2">
        <f>100*(Prices!B33/Prices!B32-1)</f>
        <v>5.1716442972440602</v>
      </c>
      <c r="C33" s="2">
        <f>B33-'Fama-French '!$E32</f>
        <v>5.1716442972440602</v>
      </c>
      <c r="D33" s="2">
        <f>100*(Prices!C33/Prices!C32-1)</f>
        <v>4.5283577218267146</v>
      </c>
      <c r="E33" s="2">
        <f>D33-'Fama-French '!$E32</f>
        <v>4.5283577218267146</v>
      </c>
      <c r="F33" s="2">
        <f>100*(Prices!D33/Prices!D32-1)</f>
        <v>6.1905820564555514</v>
      </c>
      <c r="G33" s="2">
        <f>F33-'Fama-French '!$E32</f>
        <v>6.1905820564555514</v>
      </c>
      <c r="H33" s="2">
        <f>100*(Prices!E33/Prices!E32-1)</f>
        <v>-0.44618552908627374</v>
      </c>
      <c r="I33" s="2">
        <f>H33-'Fama-French '!$E32</f>
        <v>-0.44618552908627374</v>
      </c>
      <c r="J33" s="2">
        <f>100*(Prices!F33/Prices!F32-1)</f>
        <v>6.8664863111157715</v>
      </c>
      <c r="K33" s="2">
        <f>J33-'Fama-French '!$E32</f>
        <v>6.8664863111157715</v>
      </c>
    </row>
    <row r="34" spans="1:11" x14ac:dyDescent="0.25">
      <c r="A34" s="1">
        <v>44409</v>
      </c>
      <c r="B34" s="2">
        <f>100*(Prices!B34/Prices!B33-1)</f>
        <v>5.9562660662745515</v>
      </c>
      <c r="C34" s="2">
        <f>B34-'Fama-French '!$E33</f>
        <v>5.9562660662745515</v>
      </c>
      <c r="D34" s="2">
        <f>100*(Prices!C34/Prices!C33-1)</f>
        <v>0.54007210053632626</v>
      </c>
      <c r="E34" s="2">
        <f>D34-'Fama-French '!$E33</f>
        <v>0.54007210053632626</v>
      </c>
      <c r="F34" s="2">
        <f>100*(Prices!D34/Prices!D33-1)</f>
        <v>-1.2624993240749505</v>
      </c>
      <c r="G34" s="2">
        <f>F34-'Fama-French '!$E33</f>
        <v>-1.2624993240749505</v>
      </c>
      <c r="H34" s="2">
        <f>100*(Prices!E34/Prices!E33-1)</f>
        <v>-0.29066539305857564</v>
      </c>
      <c r="I34" s="2">
        <f>H34-'Fama-French '!$E33</f>
        <v>-0.29066539305857564</v>
      </c>
      <c r="J34" s="2">
        <f>100*(Prices!F34/Prices!F33-1)</f>
        <v>7.8177114084313049</v>
      </c>
      <c r="K34" s="2">
        <f>J34-'Fama-French '!$E33</f>
        <v>7.8177114084313049</v>
      </c>
    </row>
    <row r="35" spans="1:11" x14ac:dyDescent="0.25">
      <c r="A35" s="1">
        <v>44440</v>
      </c>
      <c r="B35" s="2">
        <f>100*(Prices!B35/Prices!B34-1)</f>
        <v>-6.4331229098612885</v>
      </c>
      <c r="C35" s="2">
        <f>B35-'Fama-French '!$E34</f>
        <v>-6.4331229098612885</v>
      </c>
      <c r="D35" s="2">
        <f>100*(Prices!C35/Prices!C34-1)</f>
        <v>-6.1631796427999426</v>
      </c>
      <c r="E35" s="2">
        <f>D35-'Fama-French '!$E34</f>
        <v>-6.1631796427999426</v>
      </c>
      <c r="F35" s="2">
        <f>100*(Prices!D35/Prices!D34-1)</f>
        <v>-6.8193792358380856</v>
      </c>
      <c r="G35" s="2">
        <f>F35-'Fama-French '!$E34</f>
        <v>-6.8193792358380856</v>
      </c>
      <c r="H35" s="2">
        <f>100*(Prices!E35/Prices!E34-1)</f>
        <v>-1.799992073934642</v>
      </c>
      <c r="I35" s="2">
        <f>H35-'Fama-French '!$E34</f>
        <v>-1.799992073934642</v>
      </c>
      <c r="J35" s="2">
        <f>100*(Prices!F35/Prices!F34-1)</f>
        <v>-6.0849448275435369</v>
      </c>
      <c r="K35" s="2">
        <f>J35-'Fama-French '!$E34</f>
        <v>-6.0849448275435369</v>
      </c>
    </row>
    <row r="36" spans="1:11" x14ac:dyDescent="0.25">
      <c r="A36" s="1">
        <v>44470</v>
      </c>
      <c r="B36" s="2">
        <f>100*(Prices!B36/Prices!B35-1)</f>
        <v>17.629107666509647</v>
      </c>
      <c r="C36" s="2">
        <f>B36-'Fama-French '!$E35</f>
        <v>17.629107666509647</v>
      </c>
      <c r="D36" s="2">
        <f>100*(Prices!C36/Prices!C35-1)</f>
        <v>0.85448828837728641</v>
      </c>
      <c r="E36" s="2">
        <f>D36-'Fama-French '!$E35</f>
        <v>0.85448828837728641</v>
      </c>
      <c r="F36" s="2">
        <f>100*(Prices!D36/Prices!D35-1)</f>
        <v>8.243626732535958</v>
      </c>
      <c r="G36" s="2">
        <f>F36-'Fama-French '!$E35</f>
        <v>8.243626732535958</v>
      </c>
      <c r="H36" s="2">
        <f>100*(Prices!E36/Prices!E35-1)</f>
        <v>-1.8885252659646468</v>
      </c>
      <c r="I36" s="2">
        <f>H36-'Fama-French '!$E35</f>
        <v>-1.8885252659646468</v>
      </c>
      <c r="J36" s="2">
        <f>100*(Prices!F36/Prices!F35-1)</f>
        <v>8.6729755765268646</v>
      </c>
      <c r="K36" s="2">
        <f>J36-'Fama-French '!$E35</f>
        <v>8.6729755765268646</v>
      </c>
    </row>
    <row r="37" spans="1:11" x14ac:dyDescent="0.25">
      <c r="A37" s="1">
        <v>44501</v>
      </c>
      <c r="B37" s="2">
        <f>100*(Prices!B37/Prices!B36-1)</f>
        <v>-0.31059400280513128</v>
      </c>
      <c r="C37" s="2">
        <f>B37-'Fama-French '!$E36</f>
        <v>-0.31059400280513128</v>
      </c>
      <c r="D37" s="2">
        <f>100*(Prices!C37/Prices!C36-1)</f>
        <v>-4.2669463605638169</v>
      </c>
      <c r="E37" s="2">
        <f>D37-'Fama-French '!$E36</f>
        <v>-4.2669463605638169</v>
      </c>
      <c r="F37" s="2">
        <f>100*(Prices!D37/Prices!D36-1)</f>
        <v>-6.954058067863345</v>
      </c>
      <c r="G37" s="2">
        <f>F37-'Fama-French '!$E36</f>
        <v>-6.954058067863345</v>
      </c>
      <c r="H37" s="2">
        <f>100*(Prices!E37/Prices!E36-1)</f>
        <v>-4.0064178031159914</v>
      </c>
      <c r="I37" s="2">
        <f>H37-'Fama-French '!$E36</f>
        <v>-4.0064178031159914</v>
      </c>
      <c r="J37" s="2">
        <f>100*(Prices!F37/Prices!F36-1)</f>
        <v>1.6992680096417745</v>
      </c>
      <c r="K37" s="2">
        <f>J37-'Fama-French '!$E36</f>
        <v>1.6992680096417745</v>
      </c>
    </row>
    <row r="38" spans="1:11" x14ac:dyDescent="0.25">
      <c r="A38" s="1">
        <v>44531</v>
      </c>
      <c r="B38" s="2">
        <f>100*(Prices!B38/Prices!B37-1)</f>
        <v>1.9193857027867134</v>
      </c>
      <c r="C38" s="2">
        <f>B38-'Fama-French '!$E37</f>
        <v>1.9093857027867134</v>
      </c>
      <c r="D38" s="2">
        <f>100*(Prices!C38/Prices!C37-1)</f>
        <v>10.428083975126956</v>
      </c>
      <c r="E38" s="2">
        <f>D38-'Fama-French '!$E37</f>
        <v>10.418083975126956</v>
      </c>
      <c r="F38" s="2">
        <f>100*(Prices!D38/Prices!D37-1)</f>
        <v>13.763894683175447</v>
      </c>
      <c r="G38" s="2">
        <f>F38-'Fama-French '!$E37</f>
        <v>13.753894683175448</v>
      </c>
      <c r="H38" s="2">
        <f>100*(Prices!E38/Prices!E37-1)</f>
        <v>3.3618473890799416</v>
      </c>
      <c r="I38" s="2">
        <f>H38-'Fama-French '!$E37</f>
        <v>3.3518473890799418</v>
      </c>
      <c r="J38" s="2">
        <f>100*(Prices!F38/Prices!F37-1)</f>
        <v>8.0588812570964841</v>
      </c>
      <c r="K38" s="2">
        <f>J38-'Fama-French '!$E37</f>
        <v>8.0488812570964843</v>
      </c>
    </row>
    <row r="39" spans="1:11" x14ac:dyDescent="0.25">
      <c r="A39" s="1">
        <v>44562</v>
      </c>
      <c r="B39" s="2">
        <f>100*(Prices!B39/Prices!B38-1)</f>
        <v>-7.5344936669406888</v>
      </c>
      <c r="C39" s="2">
        <f>B39-'Fama-French '!$E38</f>
        <v>-7.5344936669406888</v>
      </c>
      <c r="D39" s="2">
        <f>100*(Prices!C39/Prices!C38-1)</f>
        <v>0.71316032398260898</v>
      </c>
      <c r="E39" s="2">
        <f>D39-'Fama-French '!$E38</f>
        <v>0.71316032398260898</v>
      </c>
      <c r="F39" s="2">
        <f>100*(Prices!D39/Prices!D38-1)</f>
        <v>3.0400269302415683</v>
      </c>
      <c r="G39" s="2">
        <f>F39-'Fama-French '!$E38</f>
        <v>3.0400269302415683</v>
      </c>
      <c r="H39" s="2">
        <f>100*(Prices!E39/Prices!E38-1)</f>
        <v>2.4441966452002362</v>
      </c>
      <c r="I39" s="2">
        <f>H39-'Fama-French '!$E38</f>
        <v>2.4441966452002362</v>
      </c>
      <c r="J39" s="2">
        <f>100*(Prices!F39/Prices!F38-1)</f>
        <v>-16.323901081798919</v>
      </c>
      <c r="K39" s="2">
        <f>J39-'Fama-French '!$E38</f>
        <v>-16.323901081798919</v>
      </c>
    </row>
    <row r="40" spans="1:11" x14ac:dyDescent="0.25">
      <c r="A40" s="1">
        <v>44593</v>
      </c>
      <c r="B40" s="2">
        <f>100*(Prices!B40/Prices!B39-1)</f>
        <v>-3.9198594309561963</v>
      </c>
      <c r="C40" s="2">
        <f>B40-'Fama-French '!$E39</f>
        <v>-3.9198594309561963</v>
      </c>
      <c r="D40" s="2">
        <f>100*(Prices!C40/Prices!C39-1)</f>
        <v>-4.4808096226401473</v>
      </c>
      <c r="E40" s="2">
        <f>D40-'Fama-French '!$E39</f>
        <v>-4.4808096226401473</v>
      </c>
      <c r="F40" s="2">
        <f>100*(Prices!D40/Prices!D39-1)</f>
        <v>2.0160594301708468</v>
      </c>
      <c r="G40" s="2">
        <f>F40-'Fama-French '!$E39</f>
        <v>2.0160594301708468</v>
      </c>
      <c r="H40" s="2">
        <f>100*(Prices!E40/Prices!E39-1)</f>
        <v>2.0413815889777309</v>
      </c>
      <c r="I40" s="2">
        <f>H40-'Fama-French '!$E39</f>
        <v>2.0413815889777309</v>
      </c>
      <c r="J40" s="2">
        <f>100*(Prices!F40/Prices!F39-1)</f>
        <v>0.19199379954650819</v>
      </c>
      <c r="K40" s="2">
        <f>J40-'Fama-French '!$E39</f>
        <v>0.19199379954650819</v>
      </c>
    </row>
    <row r="41" spans="1:11" x14ac:dyDescent="0.25">
      <c r="A41" s="1">
        <v>44621</v>
      </c>
      <c r="B41" s="2">
        <f>100*(Prices!B41/Prices!B40-1)</f>
        <v>3.3995484240856078</v>
      </c>
      <c r="C41" s="2">
        <f>B41-'Fama-French '!$E40</f>
        <v>3.389548424085608</v>
      </c>
      <c r="D41" s="2">
        <f>100*(Prices!C41/Prices!C40-1)</f>
        <v>8.3840417579157389</v>
      </c>
      <c r="E41" s="2">
        <f>D41-'Fama-French '!$E40</f>
        <v>8.3740417579157391</v>
      </c>
      <c r="F41" s="2">
        <f>100*(Prices!D41/Prices!D40-1)</f>
        <v>-0.38559884018649626</v>
      </c>
      <c r="G41" s="2">
        <f>F41-'Fama-French '!$E40</f>
        <v>-0.39559884018649627</v>
      </c>
      <c r="H41" s="2">
        <f>100*(Prices!E41/Prices!E40-1)</f>
        <v>-5.0866514376777587</v>
      </c>
      <c r="I41" s="2">
        <f>H41-'Fama-French '!$E40</f>
        <v>-5.0966514376777585</v>
      </c>
      <c r="J41" s="2">
        <f>100*(Prices!F41/Prices!F40-1)</f>
        <v>8.827379133417157</v>
      </c>
      <c r="K41" s="2">
        <f>J41-'Fama-French '!$E40</f>
        <v>8.8173791334171572</v>
      </c>
    </row>
    <row r="42" spans="1:11" x14ac:dyDescent="0.25">
      <c r="A42" s="1">
        <v>44652</v>
      </c>
      <c r="B42" s="2">
        <f>100*(Prices!B42/Prices!B41-1)</f>
        <v>-9.9867249998890522</v>
      </c>
      <c r="C42" s="2">
        <f>B42-'Fama-French '!$E41</f>
        <v>-9.9967249998890519</v>
      </c>
      <c r="D42" s="2">
        <f>100*(Prices!C42/Prices!C41-1)</f>
        <v>1.8225168859862917</v>
      </c>
      <c r="E42" s="2">
        <f>D42-'Fama-French '!$E41</f>
        <v>1.8125168859862917</v>
      </c>
      <c r="F42" s="2">
        <f>100*(Prices!D42/Prices!D41-1)</f>
        <v>5.0073830006140962</v>
      </c>
      <c r="G42" s="2">
        <f>F42-'Fama-French '!$E41</f>
        <v>4.9973830006140965</v>
      </c>
      <c r="H42" s="2">
        <f>100*(Prices!E42/Prices!E41-1)</f>
        <v>-9.1087646005156735</v>
      </c>
      <c r="I42" s="2">
        <f>H42-'Fama-French '!$E41</f>
        <v>-9.1187646005156733</v>
      </c>
      <c r="J42" s="2">
        <f>100*(Prices!F42/Prices!F41-1)</f>
        <v>-16.161027363352133</v>
      </c>
      <c r="K42" s="2">
        <f>J42-'Fama-French '!$E41</f>
        <v>-16.171027363352135</v>
      </c>
    </row>
    <row r="43" spans="1:11" x14ac:dyDescent="0.25">
      <c r="A43" s="1">
        <v>44682</v>
      </c>
      <c r="B43" s="2">
        <f>100*(Prices!B43/Prices!B42-1)</f>
        <v>-2.0358774811409575</v>
      </c>
      <c r="C43" s="2">
        <f>B43-'Fama-French '!$E42</f>
        <v>-2.0658774811409573</v>
      </c>
      <c r="D43" s="2">
        <f>100*(Prices!C43/Prices!C42-1)</f>
        <v>-0.51535893029411861</v>
      </c>
      <c r="E43" s="2">
        <f>D43-'Fama-French '!$E42</f>
        <v>-0.54535893029411864</v>
      </c>
      <c r="F43" s="2">
        <f>100*(Prices!D43/Prices!D42-1)</f>
        <v>-1.9037303180896359</v>
      </c>
      <c r="G43" s="2">
        <f>F43-'Fama-French '!$E42</f>
        <v>-1.9337303180896359</v>
      </c>
      <c r="H43" s="2">
        <f>100*(Prices!E43/Prices!E42-1)</f>
        <v>12.126437289956282</v>
      </c>
      <c r="I43" s="2">
        <f>H43-'Fama-French '!$E42</f>
        <v>12.096437289956283</v>
      </c>
      <c r="J43" s="2">
        <f>100*(Prices!F43/Prices!F42-1)</f>
        <v>6.575627188367883</v>
      </c>
      <c r="K43" s="2">
        <f>J43-'Fama-French '!$E42</f>
        <v>6.5456271883678827</v>
      </c>
    </row>
    <row r="44" spans="1:11" x14ac:dyDescent="0.25">
      <c r="A44" s="1">
        <v>44713</v>
      </c>
      <c r="B44" s="2">
        <f>100*(Prices!B44/Prices!B43-1)</f>
        <v>-5.3120231315865514</v>
      </c>
      <c r="C44" s="2">
        <f>B44-'Fama-French '!$E43</f>
        <v>-5.372023131586551</v>
      </c>
      <c r="D44" s="2">
        <f>100*(Prices!C44/Prices!C43-1)</f>
        <v>-0.48978482712475069</v>
      </c>
      <c r="E44" s="2">
        <f>D44-'Fama-French '!$E43</f>
        <v>-0.54978482712475074</v>
      </c>
      <c r="F44" s="2">
        <f>100*(Prices!D44/Prices!D43-1)</f>
        <v>-0.74156572208475824</v>
      </c>
      <c r="G44" s="2">
        <f>F44-'Fama-French '!$E43</f>
        <v>-0.80156572208475829</v>
      </c>
      <c r="H44" s="2">
        <f>100*(Prices!E44/Prices!E43-1)</f>
        <v>-1.0528340307064399</v>
      </c>
      <c r="I44" s="2">
        <f>H44-'Fama-French '!$E43</f>
        <v>-1.1128340307064399</v>
      </c>
      <c r="J44" s="2">
        <f>100*(Prices!F44/Prices!F43-1)</f>
        <v>2.921386671074977</v>
      </c>
      <c r="K44" s="2">
        <f>J44-'Fama-French '!$E43</f>
        <v>2.8613866710749769</v>
      </c>
    </row>
    <row r="45" spans="1:11" x14ac:dyDescent="0.25">
      <c r="A45" s="1">
        <v>44743</v>
      </c>
      <c r="B45" s="2">
        <f>100*(Prices!B45/Prices!B44-1)</f>
        <v>9.3096568935675741</v>
      </c>
      <c r="C45" s="2">
        <f>B45-'Fama-French '!$E44</f>
        <v>9.229656893567574</v>
      </c>
      <c r="D45" s="2">
        <f>100*(Prices!C45/Prices!C44-1)</f>
        <v>-1.6844092752964168</v>
      </c>
      <c r="E45" s="2">
        <f>D45-'Fama-French '!$E44</f>
        <v>-1.7644092752964169</v>
      </c>
      <c r="F45" s="2">
        <f>100*(Prices!D45/Prices!D44-1)</f>
        <v>2.739832838860945</v>
      </c>
      <c r="G45" s="2">
        <f>F45-'Fama-French '!$E44</f>
        <v>2.6598328388609449</v>
      </c>
      <c r="H45" s="2">
        <f>100*(Prices!E45/Prices!E44-1)</f>
        <v>-8.9852141871217821</v>
      </c>
      <c r="I45" s="2">
        <f>H45-'Fama-French '!$E44</f>
        <v>-9.0652141871217822</v>
      </c>
      <c r="J45" s="2">
        <f>100*(Prices!F45/Prices!F44-1)</f>
        <v>9.0756315049766112</v>
      </c>
      <c r="K45" s="2">
        <f>J45-'Fama-French '!$E44</f>
        <v>8.9956315049766111</v>
      </c>
    </row>
    <row r="46" spans="1:11" x14ac:dyDescent="0.25">
      <c r="A46" s="1">
        <v>44774</v>
      </c>
      <c r="B46" s="2">
        <f>100*(Prices!B46/Prices!B45-1)</f>
        <v>-6.864011647412271</v>
      </c>
      <c r="C46" s="2">
        <f>B46-'Fama-French '!$E45</f>
        <v>-7.0540116474122714</v>
      </c>
      <c r="D46" s="2">
        <f>100*(Prices!C46/Prices!C45-1)</f>
        <v>-7.5521506369395137</v>
      </c>
      <c r="E46" s="2">
        <f>D46-'Fama-French '!$E45</f>
        <v>-7.7421506369395141</v>
      </c>
      <c r="F46" s="2">
        <f>100*(Prices!D46/Prices!D45-1)</f>
        <v>-3.8335775241183034</v>
      </c>
      <c r="G46" s="2">
        <f>F46-'Fama-French '!$E45</f>
        <v>-4.0235775241183038</v>
      </c>
      <c r="H46" s="2">
        <f>100*(Prices!E46/Prices!E45-1)</f>
        <v>-8.3437735263244157</v>
      </c>
      <c r="I46" s="2">
        <f>H46-'Fama-French '!$E45</f>
        <v>-8.5337735263244152</v>
      </c>
      <c r="J46" s="2">
        <f>100*(Prices!F46/Prices!F45-1)</f>
        <v>0.67465581138641539</v>
      </c>
      <c r="K46" s="2">
        <f>J46-'Fama-French '!$E45</f>
        <v>0.48465581138641539</v>
      </c>
    </row>
    <row r="47" spans="1:11" x14ac:dyDescent="0.25">
      <c r="A47" s="1">
        <v>44805</v>
      </c>
      <c r="B47" s="2">
        <f>100*(Prices!B47/Prices!B46-1)</f>
        <v>-10.73760683094973</v>
      </c>
      <c r="C47" s="2">
        <f>B47-'Fama-French '!$E46</f>
        <v>-10.927606830949729</v>
      </c>
      <c r="D47" s="2">
        <f>100*(Prices!C47/Prices!C46-1)</f>
        <v>1.9323245385893806</v>
      </c>
      <c r="E47" s="2">
        <f>D47-'Fama-French '!$E46</f>
        <v>1.7423245385893806</v>
      </c>
      <c r="F47" s="2">
        <f>100*(Prices!D47/Prices!D46-1)</f>
        <v>-9.2205437190642119</v>
      </c>
      <c r="G47" s="2">
        <f>F47-'Fama-French '!$E46</f>
        <v>-9.4105437190642114</v>
      </c>
      <c r="H47" s="2">
        <f>100*(Prices!E47/Prices!E46-1)</f>
        <v>-9.1843896799582598</v>
      </c>
      <c r="I47" s="2">
        <f>H47-'Fama-French '!$E46</f>
        <v>-9.3743896799582593</v>
      </c>
      <c r="J47" s="2">
        <f>100*(Prices!F47/Prices!F46-1)</f>
        <v>-7.3709606412009299</v>
      </c>
      <c r="K47" s="2">
        <f>J47-'Fama-French '!$E46</f>
        <v>-7.5609606412009303</v>
      </c>
    </row>
    <row r="48" spans="1:11" x14ac:dyDescent="0.25">
      <c r="A48" s="1">
        <v>44835</v>
      </c>
      <c r="B48" s="2">
        <f>100*(Prices!B48/Prices!B47-1)</f>
        <v>-0.3306101805752526</v>
      </c>
      <c r="C48" s="2">
        <f>B48-'Fama-French '!$E47</f>
        <v>-0.56061018057525258</v>
      </c>
      <c r="D48" s="2">
        <f>100*(Prices!C48/Prices!C47-1)</f>
        <v>6.4948625775800517</v>
      </c>
      <c r="E48" s="2">
        <f>D48-'Fama-French '!$E47</f>
        <v>6.2648625775800513</v>
      </c>
      <c r="F48" s="2">
        <f>100*(Prices!D48/Prices!D47-1)</f>
        <v>7.6157665750464787</v>
      </c>
      <c r="G48" s="2">
        <f>F48-'Fama-French '!$E47</f>
        <v>7.3857665750464783</v>
      </c>
      <c r="H48" s="2">
        <f>100*(Prices!E48/Prices!E47-1)</f>
        <v>-1.5802012752832773</v>
      </c>
      <c r="I48" s="2">
        <f>H48-'Fama-French '!$E47</f>
        <v>-1.8102012752832772</v>
      </c>
      <c r="J48" s="2">
        <f>100*(Prices!F48/Prices!F47-1)</f>
        <v>-1.1605641408636402</v>
      </c>
      <c r="K48" s="2">
        <f>J48-'Fama-French '!$E47</f>
        <v>-1.3905641408636402</v>
      </c>
    </row>
    <row r="49" spans="1:11" x14ac:dyDescent="0.25">
      <c r="A49" s="1">
        <v>44866</v>
      </c>
      <c r="B49" s="2">
        <f>100*(Prices!B49/Prices!B48-1)</f>
        <v>9.9125494877189588</v>
      </c>
      <c r="C49" s="2">
        <f>B49-'Fama-French '!$E48</f>
        <v>9.6225494877189597</v>
      </c>
      <c r="D49" s="2">
        <f>100*(Prices!C49/Prices!C48-1)</f>
        <v>2.3164946208281911</v>
      </c>
      <c r="E49" s="2">
        <f>D49-'Fama-French '!$E48</f>
        <v>2.0264946208281911</v>
      </c>
      <c r="F49" s="2">
        <f>100*(Prices!D49/Prices!D48-1)</f>
        <v>6.2823878414476786</v>
      </c>
      <c r="G49" s="2">
        <f>F49-'Fama-French '!$E48</f>
        <v>5.9923878414476786</v>
      </c>
      <c r="H49" s="2">
        <f>100*(Prices!E49/Prices!E48-1)</f>
        <v>6.0661480958008607</v>
      </c>
      <c r="I49" s="2">
        <f>H49-'Fama-French '!$E48</f>
        <v>5.7761480958008606</v>
      </c>
      <c r="J49" s="2">
        <f>100*(Prices!F49/Prices!F48-1)</f>
        <v>9.2902970939661156</v>
      </c>
      <c r="K49" s="2">
        <f>J49-'Fama-French '!$E48</f>
        <v>9.0002970939661164</v>
      </c>
    </row>
    <row r="50" spans="1:11" x14ac:dyDescent="0.25">
      <c r="A50" s="1">
        <v>44896</v>
      </c>
      <c r="B50" s="2">
        <f>100*(Prices!B50/Prices!B49-1)</f>
        <v>-5.7396481085695612</v>
      </c>
      <c r="C50" s="2">
        <f>B50-'Fama-French '!$E49</f>
        <v>-6.0696481085695613</v>
      </c>
      <c r="D50" s="2">
        <f>100*(Prices!C50/Prices!C49-1)</f>
        <v>-0.11787355507892894</v>
      </c>
      <c r="E50" s="2">
        <f>D50-'Fama-French '!$E49</f>
        <v>-0.44787355507892895</v>
      </c>
      <c r="F50" s="2">
        <f>100*(Prices!D50/Prices!D49-1)</f>
        <v>0.70921599357307574</v>
      </c>
      <c r="G50" s="2">
        <f>F50-'Fama-French '!$E49</f>
        <v>0.37921599357307573</v>
      </c>
      <c r="H50" s="2">
        <f>100*(Prices!E50/Prices!E49-1)</f>
        <v>1.0774874848329619</v>
      </c>
      <c r="I50" s="2">
        <f>H50-'Fama-French '!$E49</f>
        <v>0.74748748483296179</v>
      </c>
      <c r="J50" s="2">
        <f>100*(Prices!F50/Prices!F49-1)</f>
        <v>-0.79743033056921542</v>
      </c>
      <c r="K50" s="2">
        <f>J50-'Fama-French '!$E49</f>
        <v>-1.1274303305692155</v>
      </c>
    </row>
    <row r="51" spans="1:11" x14ac:dyDescent="0.25">
      <c r="A51" s="1">
        <v>44927</v>
      </c>
      <c r="B51" s="2">
        <f>100*(Prices!B51/Prices!B50-1)</f>
        <v>3.3316561125157129</v>
      </c>
      <c r="C51" s="2">
        <f>B51-'Fama-French '!$E50</f>
        <v>2.9816561125157128</v>
      </c>
      <c r="D51" s="2">
        <f>100*(Prices!C51/Prices!C50-1)</f>
        <v>-7.4893900561716853</v>
      </c>
      <c r="E51" s="2">
        <f>D51-'Fama-French '!$E50</f>
        <v>-7.8393900561716849</v>
      </c>
      <c r="F51" s="2">
        <f>100*(Prices!D51/Prices!D50-1)</f>
        <v>-3.6000710680040293</v>
      </c>
      <c r="G51" s="2">
        <f>F51-'Fama-French '!$E50</f>
        <v>-3.9500710680040294</v>
      </c>
      <c r="H51" s="2">
        <f>100*(Prices!E51/Prices!E50-1)</f>
        <v>5.5076058343977552</v>
      </c>
      <c r="I51" s="2">
        <f>H51-'Fama-French '!$E50</f>
        <v>5.1576058343977556</v>
      </c>
      <c r="J51" s="2">
        <f>100*(Prices!F51/Prices!F50-1)</f>
        <v>-10.729674174732672</v>
      </c>
      <c r="K51" s="2">
        <f>J51-'Fama-French '!$E50</f>
        <v>-11.079674174732672</v>
      </c>
    </row>
    <row r="52" spans="1:11" x14ac:dyDescent="0.25">
      <c r="A52" s="1">
        <v>44958</v>
      </c>
      <c r="B52" s="2">
        <f>100*(Prices!B52/Prices!B51-1)</f>
        <v>0.64970024872155197</v>
      </c>
      <c r="C52" s="2">
        <f>B52-'Fama-French '!$E51</f>
        <v>0.30970024872155194</v>
      </c>
      <c r="D52" s="2">
        <f>100*(Prices!C52/Prices!C51-1)</f>
        <v>-6.2170999625727035</v>
      </c>
      <c r="E52" s="2">
        <f>D52-'Fama-French '!$E51</f>
        <v>-6.5570999625727033</v>
      </c>
      <c r="F52" s="2">
        <f>100*(Prices!D52/Prices!D51-1)</f>
        <v>-2.9517222990956271</v>
      </c>
      <c r="G52" s="2">
        <f>F52-'Fama-French '!$E51</f>
        <v>-3.291722299095627</v>
      </c>
      <c r="H52" s="2">
        <f>100*(Prices!E52/Prices!E51-1)</f>
        <v>-5.1716726347457715</v>
      </c>
      <c r="I52" s="2">
        <f>H52-'Fama-French '!$E51</f>
        <v>-5.5116726347457714</v>
      </c>
      <c r="J52" s="2">
        <f>100*(Prices!F52/Prices!F51-1)</f>
        <v>-4.8237819195497966</v>
      </c>
      <c r="K52" s="2">
        <f>J52-'Fama-French '!$E51</f>
        <v>-5.1637819195497965</v>
      </c>
    </row>
    <row r="53" spans="1:11" x14ac:dyDescent="0.25">
      <c r="A53" s="1">
        <v>44986</v>
      </c>
      <c r="B53" s="2">
        <f>100*(Prices!B53/Prices!B52-1)</f>
        <v>15.877655740919527</v>
      </c>
      <c r="C53" s="2">
        <f>B53-'Fama-French '!$E52</f>
        <v>15.517655740919528</v>
      </c>
      <c r="D53" s="2">
        <f>100*(Prices!C53/Prices!C52-1)</f>
        <v>1.8627301104500837</v>
      </c>
      <c r="E53" s="2">
        <f>D53-'Fama-French '!$E52</f>
        <v>1.5027301104500839</v>
      </c>
      <c r="F53" s="2">
        <f>100*(Prices!D53/Prices!D52-1)</f>
        <v>4.234576713299032</v>
      </c>
      <c r="G53" s="2">
        <f>F53-'Fama-French '!$E52</f>
        <v>3.8745767132990321</v>
      </c>
      <c r="H53" s="2">
        <f>100*(Prices!E53/Prices!E52-1)</f>
        <v>0.20612566488265038</v>
      </c>
      <c r="I53" s="2">
        <f>H53-'Fama-French '!$E52</f>
        <v>-0.1538743351173496</v>
      </c>
      <c r="J53" s="2">
        <f>100*(Prices!F53/Prices!F52-1)</f>
        <v>9.2184882028492297</v>
      </c>
      <c r="K53" s="2">
        <f>J53-'Fama-French '!$E52</f>
        <v>8.8584882028492302</v>
      </c>
    </row>
    <row r="54" spans="1:11" x14ac:dyDescent="0.25">
      <c r="A54" s="1">
        <v>45017</v>
      </c>
      <c r="B54" s="2">
        <f>100*(Prices!B54/Prices!B53-1)</f>
        <v>6.5765076047585191</v>
      </c>
      <c r="C54" s="2">
        <f>B54-'Fama-French '!$E53</f>
        <v>6.2265076047585195</v>
      </c>
      <c r="D54" s="2">
        <f>100*(Prices!C54/Prices!C53-1)</f>
        <v>5.6129101010788052</v>
      </c>
      <c r="E54" s="2">
        <f>D54-'Fama-French '!$E53</f>
        <v>5.2629101010788055</v>
      </c>
      <c r="F54" s="2">
        <f>100*(Prices!D54/Prices!D53-1)</f>
        <v>4.2109735666084669</v>
      </c>
      <c r="G54" s="2">
        <f>F54-'Fama-French '!$E53</f>
        <v>3.8609735666084668</v>
      </c>
      <c r="H54" s="2">
        <f>100*(Prices!E54/Prices!E53-1)</f>
        <v>-0.15427071908151735</v>
      </c>
      <c r="I54" s="2">
        <f>H54-'Fama-French '!$E53</f>
        <v>-0.50427071908151733</v>
      </c>
      <c r="J54" s="2">
        <f>100*(Prices!F54/Prices!F53-1)</f>
        <v>-0.58381221833421204</v>
      </c>
      <c r="K54" s="2">
        <f>J54-'Fama-French '!$E53</f>
        <v>-0.93381221833421202</v>
      </c>
    </row>
    <row r="55" spans="1:11" x14ac:dyDescent="0.25">
      <c r="A55" s="1">
        <v>45047</v>
      </c>
      <c r="B55" s="2">
        <f>100*(Prices!B55/Prices!B54-1)</f>
        <v>6.8769065098234217</v>
      </c>
      <c r="C55" s="2">
        <f>B55-'Fama-French '!$E54</f>
        <v>6.5169065098234213</v>
      </c>
      <c r="D55" s="2">
        <f>100*(Prices!C55/Prices!C54-1)</f>
        <v>-5.2779522357562332</v>
      </c>
      <c r="E55" s="2">
        <f>D55-'Fama-French '!$E54</f>
        <v>-5.6379522357562335</v>
      </c>
      <c r="F55" s="2">
        <f>100*(Prices!D55/Prices!D54-1)</f>
        <v>-6.9992187430505499</v>
      </c>
      <c r="G55" s="2">
        <f>F55-'Fama-French '!$E54</f>
        <v>-7.3592187430505502</v>
      </c>
      <c r="H55" s="2">
        <f>100*(Prices!E55/Prices!E54-1)</f>
        <v>-6.7224817853752894</v>
      </c>
      <c r="I55" s="2">
        <f>H55-'Fama-French '!$E54</f>
        <v>-7.0824817853752897</v>
      </c>
      <c r="J55" s="2">
        <f>100*(Prices!F55/Prices!F54-1)</f>
        <v>-4.1367528727029974</v>
      </c>
      <c r="K55" s="2">
        <f>J55-'Fama-French '!$E54</f>
        <v>-4.4967528727029977</v>
      </c>
    </row>
    <row r="56" spans="1:11" x14ac:dyDescent="0.25">
      <c r="A56" s="1">
        <v>45078</v>
      </c>
      <c r="B56" s="2">
        <f>100*(Prices!B56/Prices!B55-1)</f>
        <v>3.926558696091198</v>
      </c>
      <c r="C56" s="2">
        <f>B56-'Fama-French '!$E55</f>
        <v>3.5265586960911981</v>
      </c>
      <c r="D56" s="2">
        <f>100*(Prices!C56/Prices!C55-1)</f>
        <v>7.5511657853148062</v>
      </c>
      <c r="E56" s="2">
        <f>D56-'Fama-French '!$E55</f>
        <v>7.1511657853148058</v>
      </c>
      <c r="F56" s="2">
        <f>100*(Prices!D56/Prices!D55-1)</f>
        <v>0.93864885546790511</v>
      </c>
      <c r="G56" s="2">
        <f>F56-'Fama-French '!$E55</f>
        <v>0.53864885546790509</v>
      </c>
      <c r="H56" s="2">
        <f>100*(Prices!E56/Prices!E55-1)</f>
        <v>4.3783282705064819</v>
      </c>
      <c r="I56" s="2">
        <f>H56-'Fama-French '!$E55</f>
        <v>3.978328270506482</v>
      </c>
      <c r="J56" s="2">
        <f>100*(Prices!F56/Prices!F55-1)</f>
        <v>1.655578800107671</v>
      </c>
      <c r="K56" s="2">
        <f>J56-'Fama-French '!$E55</f>
        <v>1.2555788001076711</v>
      </c>
    </row>
    <row r="57" spans="1:11" x14ac:dyDescent="0.25">
      <c r="A57" s="1">
        <v>45108</v>
      </c>
      <c r="B57" s="2">
        <f>100*(Prices!B57/Prices!B56-1)</f>
        <v>-1.3566686953639717</v>
      </c>
      <c r="C57" s="2">
        <f>B57-'Fama-French '!$E56</f>
        <v>-1.8066686953639717</v>
      </c>
      <c r="D57" s="2">
        <f>100*(Prices!C57/Prices!C56-1)</f>
        <v>1.2143525223274665</v>
      </c>
      <c r="E57" s="2">
        <f>D57-'Fama-French '!$E56</f>
        <v>0.76435252232746653</v>
      </c>
      <c r="F57" s="2">
        <f>100*(Prices!D57/Prices!D56-1)</f>
        <v>3.6228099276818471</v>
      </c>
      <c r="G57" s="2">
        <f>F57-'Fama-French '!$E56</f>
        <v>3.1728099276818469</v>
      </c>
      <c r="H57" s="2">
        <f>100*(Prices!E57/Prices!E56-1)</f>
        <v>-8.3624554576399177</v>
      </c>
      <c r="I57" s="2">
        <f>H57-'Fama-French '!$E56</f>
        <v>-8.812455457639917</v>
      </c>
      <c r="J57" s="2">
        <f>100*(Prices!F57/Prices!F56-1)</f>
        <v>-1.2129331118501785</v>
      </c>
      <c r="K57" s="2">
        <f>J57-'Fama-French '!$E56</f>
        <v>-1.6629331118501784</v>
      </c>
    </row>
    <row r="58" spans="1:11" x14ac:dyDescent="0.25">
      <c r="A58" s="1">
        <v>45139</v>
      </c>
      <c r="B58" s="2">
        <f>100*(Prices!B58/Prices!B57-1)</f>
        <v>-2.429140563449228</v>
      </c>
      <c r="C58" s="2">
        <f>B58-'Fama-French '!$E57</f>
        <v>-2.8791405634492282</v>
      </c>
      <c r="D58" s="2">
        <f>100*(Prices!C58/Prices!C57-1)</f>
        <v>-3.4919132294146782</v>
      </c>
      <c r="E58" s="2">
        <f>D58-'Fama-French '!$E57</f>
        <v>-3.9419132294146784</v>
      </c>
      <c r="F58" s="2">
        <f>100*(Prices!D58/Prices!D57-1)</f>
        <v>-3.3909329393929433</v>
      </c>
      <c r="G58" s="2">
        <f>F58-'Fama-French '!$E57</f>
        <v>-3.8409329393929434</v>
      </c>
      <c r="H58" s="2">
        <f>100*(Prices!E58/Prices!E57-1)</f>
        <v>4.478276600728992</v>
      </c>
      <c r="I58" s="2">
        <f>H58-'Fama-French '!$E57</f>
        <v>4.0282766007289919</v>
      </c>
      <c r="J58" s="2">
        <f>100*(Prices!F58/Prices!F57-1)</f>
        <v>-8.8676534222548291</v>
      </c>
      <c r="K58" s="2">
        <f>J58-'Fama-French '!$E57</f>
        <v>-9.3176534222548284</v>
      </c>
    </row>
    <row r="59" spans="1:11" x14ac:dyDescent="0.25">
      <c r="A59" s="1">
        <v>45170</v>
      </c>
      <c r="B59" s="2">
        <f>100*(Prices!B59/Prices!B58-1)</f>
        <v>-3.4603175735421265</v>
      </c>
      <c r="C59" s="2">
        <f>B59-'Fama-French '!$E58</f>
        <v>-3.8903175735421267</v>
      </c>
      <c r="D59" s="2">
        <f>100*(Prices!C59/Prices!C58-1)</f>
        <v>-2.9683105220533301</v>
      </c>
      <c r="E59" s="2">
        <f>D59-'Fama-French '!$E58</f>
        <v>-3.3983105220533303</v>
      </c>
      <c r="F59" s="2">
        <f>100*(Prices!D59/Prices!D58-1)</f>
        <v>-6.4349020259750533</v>
      </c>
      <c r="G59" s="2">
        <f>F59-'Fama-French '!$E58</f>
        <v>-6.8649020259750531</v>
      </c>
      <c r="H59" s="2">
        <f>100*(Prices!E59/Prices!E58-1)</f>
        <v>-7.3470499143314942</v>
      </c>
      <c r="I59" s="2">
        <f>H59-'Fama-French '!$E58</f>
        <v>-7.777049914331494</v>
      </c>
      <c r="J59" s="2">
        <f>100*(Prices!F59/Prices!F58-1)</f>
        <v>-13.642362406696929</v>
      </c>
      <c r="K59" s="2">
        <f>J59-'Fama-French '!$E58</f>
        <v>-14.072362406696929</v>
      </c>
    </row>
    <row r="60" spans="1:11" x14ac:dyDescent="0.25">
      <c r="A60" s="1">
        <v>45200</v>
      </c>
      <c r="B60" s="2">
        <f>100*(Prices!B60/Prices!B59-1)</f>
        <v>7.0815551892043471</v>
      </c>
      <c r="C60" s="2">
        <f>B60-'Fama-French '!$E59</f>
        <v>6.6115551892043474</v>
      </c>
      <c r="D60" s="2">
        <f>100*(Prices!C60/Prices!C59-1)</f>
        <v>-4.7576299625516683</v>
      </c>
      <c r="E60" s="2">
        <f>D60-'Fama-French '!$E59</f>
        <v>-5.227629962551668</v>
      </c>
      <c r="F60" s="2">
        <f>100*(Prices!D60/Prices!D59-1)</f>
        <v>1.711650468741599</v>
      </c>
      <c r="G60" s="2">
        <f>F60-'Fama-French '!$E59</f>
        <v>1.241650468741599</v>
      </c>
      <c r="H60" s="2">
        <f>100*(Prices!E60/Prices!E59-1)</f>
        <v>8.3924725895423649</v>
      </c>
      <c r="I60" s="2">
        <f>H60-'Fama-French '!$E59</f>
        <v>7.9224725895423651</v>
      </c>
      <c r="J60" s="2">
        <f>100*(Prices!F60/Prices!F59-1)</f>
        <v>1.7629590748467594</v>
      </c>
      <c r="K60" s="2">
        <f>J60-'Fama-French '!$E59</f>
        <v>1.2929590748467594</v>
      </c>
    </row>
    <row r="61" spans="1:11" x14ac:dyDescent="0.25">
      <c r="A61" s="1">
        <v>45231</v>
      </c>
      <c r="B61" s="2">
        <f>100*(Prices!B61/Prices!B60-1)</f>
        <v>12.067082426487064</v>
      </c>
      <c r="C61" s="2">
        <f>B61-'Fama-French '!$E60</f>
        <v>11.627082426487064</v>
      </c>
      <c r="D61" s="2">
        <f>100*(Prices!C61/Prices!C60-1)</f>
        <v>4.2604854462620745</v>
      </c>
      <c r="E61" s="2">
        <f>D61-'Fama-French '!$E60</f>
        <v>3.8204854462620745</v>
      </c>
      <c r="F61" s="2">
        <f>100*(Prices!D61/Prices!D60-1)</f>
        <v>3.4519363702522288</v>
      </c>
      <c r="G61" s="2">
        <f>F61-'Fama-French '!$E60</f>
        <v>3.0119363702522288</v>
      </c>
      <c r="H61" s="2">
        <f>100*(Prices!E61/Prices!E60-1)</f>
        <v>11.437951103046174</v>
      </c>
      <c r="I61" s="2">
        <f>H61-'Fama-French '!$E60</f>
        <v>10.997951103046175</v>
      </c>
      <c r="J61" s="2">
        <f>100*(Prices!F61/Prices!F60-1)</f>
        <v>0.36020130285190355</v>
      </c>
      <c r="K61" s="2">
        <f>J61-'Fama-French '!$E60</f>
        <v>-7.9798697148096454E-2</v>
      </c>
    </row>
    <row r="62" spans="1:11" x14ac:dyDescent="0.25">
      <c r="A62" s="1">
        <v>45261</v>
      </c>
      <c r="B62" s="2">
        <f>100*(Prices!B62/Prices!B61-1)</f>
        <v>-0.55601098820036166</v>
      </c>
      <c r="C62" s="2">
        <f>B62-'Fama-French '!$E61</f>
        <v>-0.98601098820036159</v>
      </c>
      <c r="D62" s="2">
        <f>100*(Prices!C62/Prices!C61-1)</f>
        <v>2.1564703168766242</v>
      </c>
      <c r="E62" s="2">
        <f>D62-'Fama-French '!$E61</f>
        <v>1.7264703168766242</v>
      </c>
      <c r="F62" s="2">
        <f>100*(Prices!D62/Prices!D61-1)</f>
        <v>1.6414037077506771</v>
      </c>
      <c r="G62" s="2">
        <f>F62-'Fama-French '!$E61</f>
        <v>1.2114037077506772</v>
      </c>
      <c r="H62" s="2">
        <f>100*(Prices!E62/Prices!E61-1)</f>
        <v>-1.643630724016909</v>
      </c>
      <c r="I62" s="2">
        <f>H62-'Fama-French '!$E61</f>
        <v>-2.0736307240169092</v>
      </c>
      <c r="J62" s="2">
        <f>100*(Prices!F62/Prices!F61-1)</f>
        <v>4.6560734119202918</v>
      </c>
      <c r="K62" s="2">
        <f>J62-'Fama-French '!$E61</f>
        <v>4.2260734119202921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08C4-CCDC-FF47-90A0-8454D0DB6DC1}">
  <dimension ref="A1:Q101"/>
  <sheetViews>
    <sheetView zoomScale="81" workbookViewId="0">
      <selection activeCell="B1" sqref="B1:B1048576"/>
    </sheetView>
  </sheetViews>
  <sheetFormatPr defaultColWidth="10.875" defaultRowHeight="15.75" x14ac:dyDescent="0.25"/>
  <cols>
    <col min="1" max="1" width="7.5" style="50" bestFit="1" customWidth="1"/>
    <col min="2" max="7" width="11" style="3" bestFit="1" customWidth="1"/>
    <col min="8" max="9" width="10.875" style="3"/>
    <col min="10" max="17" width="11" style="3" bestFit="1" customWidth="1"/>
    <col min="18" max="16384" width="10.875" style="3"/>
  </cols>
  <sheetData>
    <row r="1" spans="1:17" x14ac:dyDescent="0.25">
      <c r="A1" s="50" t="s">
        <v>0</v>
      </c>
      <c r="B1" s="3" t="s">
        <v>4</v>
      </c>
      <c r="C1" s="3" t="s">
        <v>1</v>
      </c>
      <c r="D1" s="3" t="s">
        <v>2</v>
      </c>
      <c r="E1" s="3" t="s">
        <v>8</v>
      </c>
      <c r="F1" s="3" t="s">
        <v>3</v>
      </c>
      <c r="G1" s="3" t="s">
        <v>113</v>
      </c>
      <c r="I1" s="3" t="s">
        <v>11</v>
      </c>
      <c r="K1" s="4" t="s">
        <v>1</v>
      </c>
    </row>
    <row r="2" spans="1:17" ht="16.5" thickBot="1" x14ac:dyDescent="0.3">
      <c r="A2" s="50">
        <v>201901</v>
      </c>
      <c r="B2" s="3">
        <v>8.4</v>
      </c>
      <c r="C2" s="3">
        <v>2.6057880347869036</v>
      </c>
      <c r="D2" s="3">
        <v>2.9128131361133116</v>
      </c>
      <c r="E2" s="3">
        <v>1.4373288026812139</v>
      </c>
      <c r="F2" s="3">
        <v>-2.273324584713011</v>
      </c>
      <c r="G2" s="3">
        <v>2.7585718352018054</v>
      </c>
    </row>
    <row r="3" spans="1:17" x14ac:dyDescent="0.25">
      <c r="A3" s="50">
        <v>201902</v>
      </c>
      <c r="B3" s="3">
        <v>3.4</v>
      </c>
      <c r="C3" s="3">
        <v>7.0976144658543321</v>
      </c>
      <c r="D3" s="3">
        <v>2.4950726997402772</v>
      </c>
      <c r="E3" s="3">
        <v>-5.9768105100711706</v>
      </c>
      <c r="F3" s="3">
        <v>4.2770156147317966</v>
      </c>
      <c r="G3" s="3">
        <v>4.7032473241525068</v>
      </c>
      <c r="I3" s="9" t="s">
        <v>12</v>
      </c>
      <c r="J3" s="9"/>
    </row>
    <row r="4" spans="1:17" x14ac:dyDescent="0.25">
      <c r="A4" s="50">
        <v>201903</v>
      </c>
      <c r="B4" s="3">
        <v>1.1000000000000001</v>
      </c>
      <c r="C4" s="3">
        <v>5.5349656860106409</v>
      </c>
      <c r="D4" s="3">
        <v>2.7938431556528323</v>
      </c>
      <c r="E4" s="3">
        <v>3.1624574262296492</v>
      </c>
      <c r="F4" s="3">
        <v>3.6927014095824675</v>
      </c>
      <c r="G4" s="3">
        <v>3.4816447476814463</v>
      </c>
      <c r="I4" s="3" t="s">
        <v>13</v>
      </c>
      <c r="J4" s="3">
        <v>0.71891769290185248</v>
      </c>
    </row>
    <row r="5" spans="1:17" x14ac:dyDescent="0.25">
      <c r="A5" s="50">
        <v>201904</v>
      </c>
      <c r="B5" s="3">
        <v>3.97</v>
      </c>
      <c r="C5" s="3">
        <v>10.524298419447462</v>
      </c>
      <c r="D5" s="3">
        <v>0.79864930972017767</v>
      </c>
      <c r="E5" s="3">
        <v>5.3987835392999441</v>
      </c>
      <c r="F5" s="3">
        <v>-3.4909220115060933</v>
      </c>
      <c r="G5" s="3">
        <v>0.369326668076563</v>
      </c>
      <c r="I5" s="3" t="s">
        <v>14</v>
      </c>
      <c r="J5" s="3">
        <v>0.51684264916732225</v>
      </c>
    </row>
    <row r="6" spans="1:17" x14ac:dyDescent="0.25">
      <c r="A6" s="50">
        <v>201905</v>
      </c>
      <c r="B6" s="3">
        <v>-6.94</v>
      </c>
      <c r="C6" s="3">
        <v>-5.508646239281723</v>
      </c>
      <c r="D6" s="3">
        <v>-7.3275631145614204</v>
      </c>
      <c r="E6" s="3">
        <v>-6.731179944443702E-2</v>
      </c>
      <c r="F6" s="3">
        <v>-4.1967815169258973</v>
      </c>
      <c r="G6" s="3">
        <v>1.7288938303258607</v>
      </c>
      <c r="I6" s="3" t="s">
        <v>15</v>
      </c>
      <c r="J6" s="3">
        <v>0.5085123500150347</v>
      </c>
    </row>
    <row r="7" spans="1:17" x14ac:dyDescent="0.25">
      <c r="A7" s="50">
        <v>201906</v>
      </c>
      <c r="B7" s="3">
        <v>6.93</v>
      </c>
      <c r="C7" s="3">
        <v>8.5327158249038941</v>
      </c>
      <c r="D7" s="3">
        <v>6.7456858412428904</v>
      </c>
      <c r="E7" s="3">
        <v>3.4633802098141175</v>
      </c>
      <c r="F7" s="3">
        <v>4.9349990812117799</v>
      </c>
      <c r="G7" s="3">
        <v>3.8285664451460666</v>
      </c>
      <c r="I7" s="12" t="s">
        <v>16</v>
      </c>
      <c r="J7" s="12">
        <v>4.4439543225805798</v>
      </c>
    </row>
    <row r="8" spans="1:17" ht="16.5" thickBot="1" x14ac:dyDescent="0.3">
      <c r="A8" s="50">
        <v>201907</v>
      </c>
      <c r="B8" s="3">
        <v>1.19</v>
      </c>
      <c r="C8" s="3">
        <v>1.5343813275990672</v>
      </c>
      <c r="D8" s="3">
        <v>-6.6949040640949518</v>
      </c>
      <c r="E8" s="3">
        <v>3.9750819066670009</v>
      </c>
      <c r="F8" s="3">
        <v>-3.4457542790531357</v>
      </c>
      <c r="G8" s="3">
        <v>0.93760291903801773</v>
      </c>
      <c r="I8" s="10" t="s">
        <v>17</v>
      </c>
      <c r="J8" s="10">
        <v>60</v>
      </c>
    </row>
    <row r="9" spans="1:17" x14ac:dyDescent="0.25">
      <c r="A9" s="50">
        <v>201908</v>
      </c>
      <c r="B9" s="3">
        <v>-2.58</v>
      </c>
      <c r="C9" s="3">
        <v>1.0067956621123078</v>
      </c>
      <c r="D9" s="3">
        <v>-1.5883266480453859</v>
      </c>
      <c r="E9" s="3">
        <v>4.4191205527753841</v>
      </c>
      <c r="F9" s="3">
        <v>6.1765314823500939</v>
      </c>
      <c r="G9" s="3">
        <v>5.5889016455386287</v>
      </c>
    </row>
    <row r="10" spans="1:17" ht="16.5" thickBot="1" x14ac:dyDescent="0.3">
      <c r="A10" s="50">
        <v>201909</v>
      </c>
      <c r="B10" s="3">
        <v>1.43</v>
      </c>
      <c r="C10" s="3">
        <v>1.0045251572800475</v>
      </c>
      <c r="D10" s="3">
        <v>1.3699220610549758</v>
      </c>
      <c r="E10" s="3">
        <v>-1.2701075741609811</v>
      </c>
      <c r="F10" s="3">
        <v>3.6026633617630055</v>
      </c>
      <c r="G10" s="3">
        <v>6.7660516773729888</v>
      </c>
      <c r="I10" s="3" t="s">
        <v>18</v>
      </c>
    </row>
    <row r="11" spans="1:17" x14ac:dyDescent="0.25">
      <c r="A11" s="50">
        <v>201910</v>
      </c>
      <c r="B11" s="3">
        <v>2.06</v>
      </c>
      <c r="C11" s="3">
        <v>2.9616254621200699</v>
      </c>
      <c r="D11" s="3">
        <v>1.8959550577064157</v>
      </c>
      <c r="E11" s="3">
        <v>0.55261657918237905</v>
      </c>
      <c r="F11" s="3">
        <v>2.2232926760139687E-2</v>
      </c>
      <c r="G11" s="3">
        <v>2.1362221290665273</v>
      </c>
      <c r="I11" s="11"/>
      <c r="J11" s="11" t="s">
        <v>23</v>
      </c>
      <c r="K11" s="11" t="s">
        <v>24</v>
      </c>
      <c r="L11" s="11" t="s">
        <v>25</v>
      </c>
      <c r="M11" s="11" t="s">
        <v>26</v>
      </c>
      <c r="N11" s="11" t="s">
        <v>27</v>
      </c>
    </row>
    <row r="12" spans="1:17" x14ac:dyDescent="0.25">
      <c r="A12" s="50">
        <v>201911</v>
      </c>
      <c r="B12" s="3">
        <v>3.87</v>
      </c>
      <c r="C12" s="3">
        <v>5.4669273154911746</v>
      </c>
      <c r="D12" s="3">
        <v>4.007547775895679</v>
      </c>
      <c r="E12" s="3">
        <v>-2.0123209313083223</v>
      </c>
      <c r="F12" s="3">
        <v>0.53622709467172414</v>
      </c>
      <c r="G12" s="3">
        <v>-2.0164547515012088</v>
      </c>
      <c r="I12" s="3" t="s">
        <v>19</v>
      </c>
      <c r="J12" s="3">
        <v>1</v>
      </c>
      <c r="K12" s="3">
        <v>1225.2844411998528</v>
      </c>
      <c r="L12" s="3">
        <v>1225.2844411998528</v>
      </c>
      <c r="M12" s="3">
        <v>62.043708121261695</v>
      </c>
      <c r="N12" s="3">
        <v>9.8563142370841558E-11</v>
      </c>
    </row>
    <row r="13" spans="1:17" x14ac:dyDescent="0.25">
      <c r="A13" s="50">
        <v>201912</v>
      </c>
      <c r="B13" s="3">
        <v>2.77</v>
      </c>
      <c r="C13" s="3">
        <v>4.3894105936060317</v>
      </c>
      <c r="D13" s="3">
        <v>6.6899887487856651</v>
      </c>
      <c r="E13" s="3">
        <v>4.2859189277836567</v>
      </c>
      <c r="F13" s="3">
        <v>1.7856299239541751</v>
      </c>
      <c r="G13" s="3">
        <v>3.9808854733528531</v>
      </c>
      <c r="I13" s="3" t="s">
        <v>20</v>
      </c>
      <c r="J13" s="3">
        <v>58</v>
      </c>
      <c r="K13" s="3">
        <v>1145.426341228592</v>
      </c>
      <c r="L13" s="3">
        <v>19.74873002118262</v>
      </c>
    </row>
    <row r="14" spans="1:17" ht="16.5" thickBot="1" x14ac:dyDescent="0.3">
      <c r="A14" s="50">
        <v>202001</v>
      </c>
      <c r="B14" s="3">
        <v>-0.11</v>
      </c>
      <c r="C14" s="3">
        <v>7.8154642363385287</v>
      </c>
      <c r="D14" s="3">
        <v>1.9266690085133789</v>
      </c>
      <c r="E14" s="3">
        <v>5.3803965231496411</v>
      </c>
      <c r="F14" s="3">
        <v>-3.3221938789027048</v>
      </c>
      <c r="G14" s="3">
        <v>10.623225958131838</v>
      </c>
      <c r="I14" s="10" t="s">
        <v>21</v>
      </c>
      <c r="J14" s="10">
        <v>59</v>
      </c>
      <c r="K14" s="10">
        <v>2370.7107824284449</v>
      </c>
      <c r="L14" s="10"/>
      <c r="M14" s="10"/>
      <c r="N14" s="10"/>
    </row>
    <row r="15" spans="1:17" ht="16.5" thickBot="1" x14ac:dyDescent="0.3">
      <c r="A15" s="50">
        <v>202002</v>
      </c>
      <c r="B15" s="3">
        <v>-8.1300000000000008</v>
      </c>
      <c r="C15" s="3">
        <v>-4.9487491800355849</v>
      </c>
      <c r="D15" s="3">
        <v>-9.7861501429484914</v>
      </c>
      <c r="E15" s="3">
        <v>-8.5275378411014646</v>
      </c>
      <c r="F15" s="3">
        <v>-8.0546409214946841</v>
      </c>
      <c r="G15" s="3">
        <v>-5.876901512451707</v>
      </c>
    </row>
    <row r="16" spans="1:17" x14ac:dyDescent="0.25">
      <c r="A16" s="50">
        <v>202003</v>
      </c>
      <c r="B16" s="3">
        <v>-13.39</v>
      </c>
      <c r="C16" s="3">
        <v>-2.5182726515227492</v>
      </c>
      <c r="D16" s="3">
        <v>-1.9993034182312717</v>
      </c>
      <c r="E16" s="3">
        <v>-17.404262307171937</v>
      </c>
      <c r="F16" s="3">
        <v>-0.9239344930705583</v>
      </c>
      <c r="G16" s="3">
        <v>-4.4358060917887663</v>
      </c>
      <c r="I16" s="11"/>
      <c r="J16" s="11" t="s">
        <v>28</v>
      </c>
      <c r="K16" s="11" t="s">
        <v>16</v>
      </c>
      <c r="L16" s="11" t="s">
        <v>29</v>
      </c>
      <c r="M16" s="11" t="s">
        <v>30</v>
      </c>
      <c r="N16" s="11" t="s">
        <v>31</v>
      </c>
      <c r="O16" s="11" t="s">
        <v>32</v>
      </c>
      <c r="P16" s="11" t="s">
        <v>33</v>
      </c>
      <c r="Q16" s="11" t="s">
        <v>34</v>
      </c>
    </row>
    <row r="17" spans="1:17" x14ac:dyDescent="0.25">
      <c r="A17" s="50">
        <v>202004</v>
      </c>
      <c r="B17" s="3">
        <v>13.65</v>
      </c>
      <c r="C17" s="3">
        <v>13.632611516409575</v>
      </c>
      <c r="D17" s="3">
        <v>14.420802232830709</v>
      </c>
      <c r="E17" s="3">
        <v>4.6157096262234409</v>
      </c>
      <c r="F17" s="3">
        <v>6.9234807099553208</v>
      </c>
      <c r="G17" s="3">
        <v>-3.9481408607542789</v>
      </c>
      <c r="I17" s="3" t="s">
        <v>22</v>
      </c>
      <c r="J17" s="3">
        <v>1.3683200170637853</v>
      </c>
      <c r="K17" s="3">
        <v>0.58680601736880067</v>
      </c>
      <c r="L17" s="3">
        <v>2.3318097915887801</v>
      </c>
      <c r="M17" s="3">
        <v>2.3205170311901592E-2</v>
      </c>
      <c r="N17" s="3">
        <v>0.19370015229502438</v>
      </c>
      <c r="O17" s="3">
        <v>2.5429398818325462</v>
      </c>
      <c r="P17" s="3">
        <v>0.19370015229502438</v>
      </c>
      <c r="Q17" s="3">
        <v>2.5429398818325462</v>
      </c>
    </row>
    <row r="18" spans="1:17" ht="16.5" thickBot="1" x14ac:dyDescent="0.3">
      <c r="A18" s="50">
        <v>202005</v>
      </c>
      <c r="B18" s="3">
        <v>5.58</v>
      </c>
      <c r="C18" s="3">
        <v>2.2443412904228124</v>
      </c>
      <c r="D18" s="3">
        <v>-0.86977105768445528</v>
      </c>
      <c r="E18" s="3">
        <v>1.7115108838460003</v>
      </c>
      <c r="F18" s="3">
        <v>0.94232009411931883</v>
      </c>
      <c r="G18" s="3">
        <v>10.564591191729654</v>
      </c>
      <c r="I18" s="13" t="s">
        <v>4</v>
      </c>
      <c r="J18" s="13">
        <v>0.81973903520472358</v>
      </c>
      <c r="K18" s="10">
        <v>0.10407028484224554</v>
      </c>
      <c r="L18" s="10">
        <v>7.8767828535044488</v>
      </c>
      <c r="M18" s="10">
        <v>9.8563142370841558E-11</v>
      </c>
      <c r="N18" s="10">
        <v>0.61141972645602582</v>
      </c>
      <c r="O18" s="10">
        <v>1.0280583439534212</v>
      </c>
      <c r="P18" s="10">
        <v>0.61141972645602582</v>
      </c>
      <c r="Q18" s="10">
        <v>1.0280583439534212</v>
      </c>
    </row>
    <row r="19" spans="1:17" x14ac:dyDescent="0.25">
      <c r="A19" s="50">
        <v>202006</v>
      </c>
      <c r="B19" s="3">
        <v>2.46</v>
      </c>
      <c r="C19" s="3">
        <v>11.355233991562685</v>
      </c>
      <c r="D19" s="3">
        <v>-4.8134472753309634</v>
      </c>
      <c r="E19" s="3">
        <v>-4.2944780955861521</v>
      </c>
      <c r="F19" s="3">
        <v>-3.9312451649250466</v>
      </c>
      <c r="G19" s="3">
        <v>-6.0320685671474532</v>
      </c>
    </row>
    <row r="20" spans="1:17" x14ac:dyDescent="0.25">
      <c r="A20" s="50">
        <v>202007</v>
      </c>
      <c r="B20" s="3">
        <v>5.77</v>
      </c>
      <c r="C20" s="3">
        <v>0.72704931125599948</v>
      </c>
      <c r="D20" s="3">
        <v>3.6378662475339043</v>
      </c>
      <c r="E20" s="3">
        <v>6.6801742505675046</v>
      </c>
      <c r="F20" s="3">
        <v>4.2526522924408496</v>
      </c>
      <c r="G20" s="3">
        <v>17.509344938130784</v>
      </c>
    </row>
    <row r="21" spans="1:17" x14ac:dyDescent="0.25">
      <c r="A21" s="50">
        <v>202008</v>
      </c>
      <c r="B21" s="3">
        <v>7.63</v>
      </c>
      <c r="C21" s="3">
        <v>9.9992808640853905</v>
      </c>
      <c r="D21" s="3">
        <v>5.2383575503310178</v>
      </c>
      <c r="E21" s="3">
        <v>4.8375775293979286</v>
      </c>
      <c r="F21" s="3">
        <v>4.262089208044161</v>
      </c>
      <c r="G21" s="3">
        <v>-0.5550639236787458</v>
      </c>
      <c r="I21" s="3" t="s">
        <v>11</v>
      </c>
      <c r="K21" s="4" t="s">
        <v>2</v>
      </c>
    </row>
    <row r="22" spans="1:17" ht="16.5" thickBot="1" x14ac:dyDescent="0.3">
      <c r="A22" s="50">
        <v>202009</v>
      </c>
      <c r="B22" s="3">
        <v>-3.63</v>
      </c>
      <c r="C22" s="3">
        <v>-6.524237517860854</v>
      </c>
      <c r="D22" s="3">
        <v>-2.3169577695980279</v>
      </c>
      <c r="E22" s="3">
        <v>-0.33300988957140176</v>
      </c>
      <c r="F22" s="3">
        <v>0.36119133639942347</v>
      </c>
      <c r="G22" s="3">
        <v>-8.530278123577538E-2</v>
      </c>
    </row>
    <row r="23" spans="1:17" x14ac:dyDescent="0.25">
      <c r="A23" s="50">
        <v>202010</v>
      </c>
      <c r="B23" s="3">
        <v>-2.1</v>
      </c>
      <c r="C23" s="3">
        <v>-3.74698123296734</v>
      </c>
      <c r="D23" s="3">
        <v>-7.9156956115503672</v>
      </c>
      <c r="E23" s="3">
        <v>-1.875455583825415</v>
      </c>
      <c r="F23" s="3">
        <v>-4.2123738918997242</v>
      </c>
      <c r="G23" s="3">
        <v>5.4951134219273658</v>
      </c>
      <c r="I23" s="9" t="s">
        <v>12</v>
      </c>
      <c r="J23" s="9"/>
    </row>
    <row r="24" spans="1:17" x14ac:dyDescent="0.25">
      <c r="A24" s="50">
        <v>202011</v>
      </c>
      <c r="B24" s="3">
        <v>12.47</v>
      </c>
      <c r="C24" s="3">
        <v>5.7192437767227258</v>
      </c>
      <c r="D24" s="3">
        <v>5.5111064354980801</v>
      </c>
      <c r="E24" s="3">
        <v>7.3557957658308739</v>
      </c>
      <c r="F24" s="3">
        <v>7.1196444348565304</v>
      </c>
      <c r="G24" s="3">
        <v>0.50904819127503997</v>
      </c>
      <c r="I24" s="3" t="s">
        <v>13</v>
      </c>
      <c r="J24" s="3">
        <v>0.52505437678633016</v>
      </c>
    </row>
    <row r="25" spans="1:17" x14ac:dyDescent="0.25">
      <c r="A25" s="50">
        <v>202012</v>
      </c>
      <c r="B25" s="3">
        <v>4.63</v>
      </c>
      <c r="C25" s="3">
        <v>4.1625985860953776</v>
      </c>
      <c r="D25" s="3">
        <v>9.5238687144998391</v>
      </c>
      <c r="E25" s="3">
        <v>7.102400759927451</v>
      </c>
      <c r="F25" s="3">
        <v>-2.7578834842864395</v>
      </c>
      <c r="G25" s="3">
        <v>5.3192741856088679</v>
      </c>
      <c r="I25" s="3" t="s">
        <v>14</v>
      </c>
      <c r="J25" s="3">
        <v>0.27568209858248161</v>
      </c>
    </row>
    <row r="26" spans="1:17" x14ac:dyDescent="0.25">
      <c r="A26" s="50">
        <v>202101</v>
      </c>
      <c r="B26" s="3">
        <v>-0.03</v>
      </c>
      <c r="C26" s="3">
        <v>4.2791974725299822</v>
      </c>
      <c r="D26" s="3">
        <v>3.6435688048397799</v>
      </c>
      <c r="E26" s="3">
        <v>-12.209138401580967</v>
      </c>
      <c r="F26" s="3">
        <v>-6.8185116756147259</v>
      </c>
      <c r="G26" s="3">
        <v>4.8118050991924335</v>
      </c>
      <c r="I26" s="3" t="s">
        <v>15</v>
      </c>
      <c r="J26" s="3">
        <v>0.26319385890286923</v>
      </c>
    </row>
    <row r="27" spans="1:17" x14ac:dyDescent="0.25">
      <c r="A27" s="50">
        <v>202102</v>
      </c>
      <c r="B27" s="3">
        <v>2.78</v>
      </c>
      <c r="C27" s="3">
        <v>0.18106724189419499</v>
      </c>
      <c r="D27" s="3">
        <v>-2.8627215997686695</v>
      </c>
      <c r="E27" s="3">
        <v>1.744568512160094</v>
      </c>
      <c r="F27" s="3">
        <v>2.0858493377795329</v>
      </c>
      <c r="G27" s="3">
        <v>-9.1381201092568638</v>
      </c>
      <c r="I27" s="12" t="s">
        <v>16</v>
      </c>
      <c r="J27" s="12">
        <v>4.3662248840436471</v>
      </c>
    </row>
    <row r="28" spans="1:17" ht="16.5" thickBot="1" x14ac:dyDescent="0.3">
      <c r="A28" s="50">
        <v>202103</v>
      </c>
      <c r="B28" s="3">
        <v>3.08</v>
      </c>
      <c r="C28" s="3">
        <v>1.6924956234312782</v>
      </c>
      <c r="D28" s="3">
        <v>4.3637818827191532</v>
      </c>
      <c r="E28" s="3">
        <v>7.5933827639444784</v>
      </c>
      <c r="F28" s="3">
        <v>5.1537272044209104</v>
      </c>
      <c r="G28" s="3">
        <v>3.43866009996876</v>
      </c>
      <c r="I28" s="10" t="s">
        <v>17</v>
      </c>
      <c r="J28" s="10">
        <v>60</v>
      </c>
    </row>
    <row r="29" spans="1:17" x14ac:dyDescent="0.25">
      <c r="A29" s="50">
        <v>202104</v>
      </c>
      <c r="B29" s="3">
        <v>4.93</v>
      </c>
      <c r="C29" s="3">
        <v>6.9601560650469629</v>
      </c>
      <c r="D29" s="3">
        <v>-0.98572601132438376</v>
      </c>
      <c r="E29" s="3">
        <v>3.2617987536191162</v>
      </c>
      <c r="F29" s="3">
        <v>-0.61909685837903128</v>
      </c>
      <c r="G29" s="3">
        <v>2.5128792893963192</v>
      </c>
    </row>
    <row r="30" spans="1:17" ht="16.5" thickBot="1" x14ac:dyDescent="0.3">
      <c r="A30" s="50">
        <v>202105</v>
      </c>
      <c r="B30" s="3">
        <v>0.28999999999999998</v>
      </c>
      <c r="C30" s="3">
        <v>-0.9913473053598576</v>
      </c>
      <c r="D30" s="3">
        <v>4.0066374223079348</v>
      </c>
      <c r="E30" s="3">
        <v>2.4268276560624802</v>
      </c>
      <c r="F30" s="3">
        <v>-1.1978573009086779</v>
      </c>
      <c r="G30" s="3">
        <v>-5.5347635353517948</v>
      </c>
      <c r="I30" s="3" t="s">
        <v>18</v>
      </c>
    </row>
    <row r="31" spans="1:17" x14ac:dyDescent="0.25">
      <c r="A31" s="50">
        <v>202106</v>
      </c>
      <c r="B31" s="3">
        <v>2.75</v>
      </c>
      <c r="C31" s="3">
        <v>8.7494296023813867</v>
      </c>
      <c r="D31" s="3">
        <v>-2.0574274076083698</v>
      </c>
      <c r="E31" s="3">
        <v>-2.1342081818530367</v>
      </c>
      <c r="F31" s="3">
        <v>-0.81432047877738611</v>
      </c>
      <c r="G31" s="3">
        <v>8.1959429377742588E-2</v>
      </c>
      <c r="I31" s="11"/>
      <c r="J31" s="11" t="s">
        <v>23</v>
      </c>
      <c r="K31" s="11" t="s">
        <v>24</v>
      </c>
      <c r="L31" s="11" t="s">
        <v>25</v>
      </c>
      <c r="M31" s="11" t="s">
        <v>26</v>
      </c>
      <c r="N31" s="11" t="s">
        <v>27</v>
      </c>
    </row>
    <row r="32" spans="1:17" x14ac:dyDescent="0.25">
      <c r="A32" s="50">
        <v>202107</v>
      </c>
      <c r="B32" s="3">
        <v>1.27</v>
      </c>
      <c r="C32" s="3">
        <v>5.1716442972440602</v>
      </c>
      <c r="D32" s="3">
        <v>4.5283577218267146</v>
      </c>
      <c r="E32" s="3">
        <v>6.1905820564555514</v>
      </c>
      <c r="F32" s="3">
        <v>-0.44618552908627374</v>
      </c>
      <c r="G32" s="3">
        <v>6.8664863111157715</v>
      </c>
      <c r="I32" s="3" t="s">
        <v>19</v>
      </c>
      <c r="J32" s="3">
        <v>1</v>
      </c>
      <c r="K32" s="3">
        <v>420.84245141221732</v>
      </c>
      <c r="L32" s="3">
        <v>420.84245141221732</v>
      </c>
      <c r="M32" s="3">
        <v>22.075336929394862</v>
      </c>
      <c r="N32" s="3">
        <v>1.6548691995508172E-5</v>
      </c>
    </row>
    <row r="33" spans="1:17" x14ac:dyDescent="0.25">
      <c r="A33" s="50">
        <v>202108</v>
      </c>
      <c r="B33" s="3">
        <v>2.91</v>
      </c>
      <c r="C33" s="3">
        <v>5.9562660662745515</v>
      </c>
      <c r="D33" s="3">
        <v>0.54007210053632626</v>
      </c>
      <c r="E33" s="3">
        <v>-1.2624993240749505</v>
      </c>
      <c r="F33" s="3">
        <v>-0.29066539305857564</v>
      </c>
      <c r="G33" s="3">
        <v>7.8177114084313049</v>
      </c>
      <c r="I33" s="3" t="s">
        <v>20</v>
      </c>
      <c r="J33" s="3">
        <v>58</v>
      </c>
      <c r="K33" s="3">
        <v>1105.7073448064336</v>
      </c>
      <c r="L33" s="3">
        <v>19.06391973804196</v>
      </c>
    </row>
    <row r="34" spans="1:17" ht="16.5" thickBot="1" x14ac:dyDescent="0.3">
      <c r="A34" s="50">
        <v>202109</v>
      </c>
      <c r="B34" s="3">
        <v>-4.37</v>
      </c>
      <c r="C34" s="3">
        <v>-6.4331229098612885</v>
      </c>
      <c r="D34" s="3">
        <v>-6.1631796427999426</v>
      </c>
      <c r="E34" s="3">
        <v>-6.8193792358380856</v>
      </c>
      <c r="F34" s="3">
        <v>-1.799992073934642</v>
      </c>
      <c r="G34" s="3">
        <v>-6.0849448275435369</v>
      </c>
      <c r="I34" s="10" t="s">
        <v>21</v>
      </c>
      <c r="J34" s="10">
        <v>59</v>
      </c>
      <c r="K34" s="10">
        <v>1526.549796218651</v>
      </c>
      <c r="L34" s="10"/>
      <c r="M34" s="10"/>
      <c r="N34" s="10"/>
    </row>
    <row r="35" spans="1:17" ht="16.5" thickBot="1" x14ac:dyDescent="0.3">
      <c r="A35" s="50">
        <v>202110</v>
      </c>
      <c r="B35" s="3">
        <v>6.65</v>
      </c>
      <c r="C35" s="3">
        <v>17.629107666509647</v>
      </c>
      <c r="D35" s="3">
        <v>0.85448828837728641</v>
      </c>
      <c r="E35" s="3">
        <v>8.243626732535958</v>
      </c>
      <c r="F35" s="3">
        <v>-1.8885252659646468</v>
      </c>
      <c r="G35" s="3">
        <v>8.6729755765268646</v>
      </c>
    </row>
    <row r="36" spans="1:17" x14ac:dyDescent="0.25">
      <c r="A36" s="50">
        <v>202111</v>
      </c>
      <c r="B36" s="3">
        <v>-1.55</v>
      </c>
      <c r="C36" s="3">
        <v>-0.31059400280513128</v>
      </c>
      <c r="D36" s="3">
        <v>-4.2669463605638169</v>
      </c>
      <c r="E36" s="3">
        <v>-6.954058067863345</v>
      </c>
      <c r="F36" s="3">
        <v>-4.0064178031159914</v>
      </c>
      <c r="G36" s="3">
        <v>1.6992680096417745</v>
      </c>
      <c r="I36" s="11"/>
      <c r="J36" s="11" t="s">
        <v>28</v>
      </c>
      <c r="K36" s="11" t="s">
        <v>16</v>
      </c>
      <c r="L36" s="11" t="s">
        <v>29</v>
      </c>
      <c r="M36" s="11" t="s">
        <v>30</v>
      </c>
      <c r="N36" s="11" t="s">
        <v>31</v>
      </c>
      <c r="O36" s="11" t="s">
        <v>32</v>
      </c>
      <c r="P36" s="11" t="s">
        <v>33</v>
      </c>
      <c r="Q36" s="11" t="s">
        <v>34</v>
      </c>
    </row>
    <row r="37" spans="1:17" x14ac:dyDescent="0.25">
      <c r="A37" s="50">
        <v>202112</v>
      </c>
      <c r="B37" s="3">
        <v>3.1</v>
      </c>
      <c r="C37" s="3">
        <v>1.9093857027867134</v>
      </c>
      <c r="D37" s="3">
        <v>10.418083975126956</v>
      </c>
      <c r="E37" s="3">
        <v>13.753894683175448</v>
      </c>
      <c r="F37" s="3">
        <v>3.3518473890799418</v>
      </c>
      <c r="G37" s="3">
        <v>8.0488812570964843</v>
      </c>
      <c r="I37" s="3" t="s">
        <v>22</v>
      </c>
      <c r="J37" s="3">
        <v>-4.0654547093516569E-2</v>
      </c>
      <c r="K37" s="3">
        <v>0.57654216248883328</v>
      </c>
      <c r="L37" s="3">
        <v>-7.0514438905938615E-2</v>
      </c>
      <c r="M37" s="3">
        <v>0.94402678261352879</v>
      </c>
      <c r="N37" s="3">
        <v>-1.1947290740943173</v>
      </c>
      <c r="O37" s="3">
        <v>1.1134199799072841</v>
      </c>
      <c r="P37" s="3">
        <v>-1.1947290740943173</v>
      </c>
      <c r="Q37" s="3">
        <v>1.1134199799072841</v>
      </c>
    </row>
    <row r="38" spans="1:17" ht="16.5" thickBot="1" x14ac:dyDescent="0.3">
      <c r="A38" s="50">
        <v>202201</v>
      </c>
      <c r="B38" s="3">
        <v>-6.25</v>
      </c>
      <c r="C38" s="3">
        <v>-7.5344936669406888</v>
      </c>
      <c r="D38" s="3">
        <v>0.71316032398260898</v>
      </c>
      <c r="E38" s="3">
        <v>3.0400269302415683</v>
      </c>
      <c r="F38" s="3">
        <v>2.4441966452002362</v>
      </c>
      <c r="G38" s="3">
        <v>-16.323901081798919</v>
      </c>
      <c r="I38" s="13" t="s">
        <v>4</v>
      </c>
      <c r="J38" s="13">
        <v>0.480415407959079</v>
      </c>
      <c r="K38" s="10">
        <v>0.10224998602232674</v>
      </c>
      <c r="L38" s="10">
        <v>4.6984398399250455</v>
      </c>
      <c r="M38" s="10">
        <v>1.654869199550805E-5</v>
      </c>
      <c r="N38" s="10">
        <v>0.27573982318458168</v>
      </c>
      <c r="O38" s="10">
        <v>0.68509099273357632</v>
      </c>
      <c r="P38" s="10">
        <v>0.27573982318458168</v>
      </c>
      <c r="Q38" s="10">
        <v>0.68509099273357632</v>
      </c>
    </row>
    <row r="39" spans="1:17" x14ac:dyDescent="0.25">
      <c r="A39" s="50">
        <v>202202</v>
      </c>
      <c r="B39" s="3">
        <v>-2.29</v>
      </c>
      <c r="C39" s="3">
        <v>-3.9198594309561963</v>
      </c>
      <c r="D39" s="3">
        <v>-4.4808096226401473</v>
      </c>
      <c r="E39" s="3">
        <v>2.0160594301708468</v>
      </c>
      <c r="F39" s="3">
        <v>2.0413815889777309</v>
      </c>
      <c r="G39" s="3">
        <v>0.19199379954650819</v>
      </c>
    </row>
    <row r="40" spans="1:17" x14ac:dyDescent="0.25">
      <c r="A40" s="50">
        <v>202203</v>
      </c>
      <c r="B40" s="3">
        <v>3.05</v>
      </c>
      <c r="C40" s="3">
        <v>3.389548424085608</v>
      </c>
      <c r="D40" s="3">
        <v>8.3740417579157391</v>
      </c>
      <c r="E40" s="3">
        <v>-0.39559884018649627</v>
      </c>
      <c r="F40" s="3">
        <v>-5.0966514376777585</v>
      </c>
      <c r="G40" s="3">
        <v>8.8173791334171572</v>
      </c>
    </row>
    <row r="41" spans="1:17" x14ac:dyDescent="0.25">
      <c r="A41" s="50">
        <v>202204</v>
      </c>
      <c r="B41" s="3">
        <v>-9.4600000000000009</v>
      </c>
      <c r="C41" s="3">
        <v>-9.9967249998890519</v>
      </c>
      <c r="D41" s="3">
        <v>1.8125168859862917</v>
      </c>
      <c r="E41" s="3">
        <v>4.9973830006140965</v>
      </c>
      <c r="F41" s="3">
        <v>-9.1187646005156733</v>
      </c>
      <c r="G41" s="3">
        <v>-16.171027363352135</v>
      </c>
      <c r="I41" s="3" t="s">
        <v>11</v>
      </c>
      <c r="K41" s="4" t="s">
        <v>8</v>
      </c>
    </row>
    <row r="42" spans="1:17" ht="16.5" thickBot="1" x14ac:dyDescent="0.3">
      <c r="A42" s="50">
        <v>202205</v>
      </c>
      <c r="B42" s="3">
        <v>-0.34</v>
      </c>
      <c r="C42" s="3">
        <v>-2.0658774811409573</v>
      </c>
      <c r="D42" s="3">
        <v>-0.54535893029411864</v>
      </c>
      <c r="E42" s="3">
        <v>-1.9337303180896359</v>
      </c>
      <c r="F42" s="3">
        <v>12.096437289956283</v>
      </c>
      <c r="G42" s="3">
        <v>6.5456271883678827</v>
      </c>
    </row>
    <row r="43" spans="1:17" x14ac:dyDescent="0.25">
      <c r="A43" s="50">
        <v>202206</v>
      </c>
      <c r="B43" s="3">
        <v>-8.43</v>
      </c>
      <c r="C43" s="3">
        <v>-5.372023131586551</v>
      </c>
      <c r="D43" s="3">
        <v>-0.54978482712475074</v>
      </c>
      <c r="E43" s="3">
        <v>-0.80156572208475829</v>
      </c>
      <c r="F43" s="3">
        <v>-1.1128340307064399</v>
      </c>
      <c r="G43" s="3">
        <v>2.8613866710749769</v>
      </c>
      <c r="I43" s="9" t="s">
        <v>12</v>
      </c>
      <c r="J43" s="9"/>
    </row>
    <row r="44" spans="1:17" x14ac:dyDescent="0.25">
      <c r="A44" s="50">
        <v>202207</v>
      </c>
      <c r="B44" s="3">
        <v>9.57</v>
      </c>
      <c r="C44" s="3">
        <v>9.229656893567574</v>
      </c>
      <c r="D44" s="3">
        <v>-1.7644092752964169</v>
      </c>
      <c r="E44" s="3">
        <v>2.6598328388609449</v>
      </c>
      <c r="F44" s="3">
        <v>-9.0652141871217822</v>
      </c>
      <c r="G44" s="3">
        <v>8.9956315049766111</v>
      </c>
      <c r="I44" s="3" t="s">
        <v>13</v>
      </c>
      <c r="J44" s="3">
        <v>0.53359115077908004</v>
      </c>
    </row>
    <row r="45" spans="1:17" x14ac:dyDescent="0.25">
      <c r="A45" s="50">
        <v>202208</v>
      </c>
      <c r="B45" s="3">
        <v>-3.77</v>
      </c>
      <c r="C45" s="3">
        <v>-7.0540116474122714</v>
      </c>
      <c r="D45" s="3">
        <v>-7.7421506369395141</v>
      </c>
      <c r="E45" s="3">
        <v>-4.0235775241183038</v>
      </c>
      <c r="F45" s="3">
        <v>-8.5337735263244152</v>
      </c>
      <c r="G45" s="3">
        <v>0.48465581138641539</v>
      </c>
      <c r="I45" s="3" t="s">
        <v>14</v>
      </c>
      <c r="J45" s="3">
        <v>0.28471951618974295</v>
      </c>
    </row>
    <row r="46" spans="1:17" x14ac:dyDescent="0.25">
      <c r="A46" s="50">
        <v>202209</v>
      </c>
      <c r="B46" s="3">
        <v>-9.35</v>
      </c>
      <c r="C46" s="3">
        <v>-10.927606830949729</v>
      </c>
      <c r="D46" s="3">
        <v>1.7423245385893806</v>
      </c>
      <c r="E46" s="3">
        <v>-9.4105437190642114</v>
      </c>
      <c r="F46" s="3">
        <v>-9.3743896799582593</v>
      </c>
      <c r="G46" s="3">
        <v>-7.5609606412009303</v>
      </c>
      <c r="I46" s="3" t="s">
        <v>15</v>
      </c>
      <c r="J46" s="3">
        <v>0.27238709405508338</v>
      </c>
    </row>
    <row r="47" spans="1:17" x14ac:dyDescent="0.25">
      <c r="A47" s="50">
        <v>202210</v>
      </c>
      <c r="B47" s="3">
        <v>7.83</v>
      </c>
      <c r="C47" s="3">
        <v>-0.56061018057525258</v>
      </c>
      <c r="D47" s="3">
        <v>6.2648625775800513</v>
      </c>
      <c r="E47" s="3">
        <v>7.3857665750464783</v>
      </c>
      <c r="F47" s="3">
        <v>-1.8102012752832772</v>
      </c>
      <c r="G47" s="3">
        <v>-1.3905641408636402</v>
      </c>
      <c r="I47" s="12" t="s">
        <v>16</v>
      </c>
      <c r="J47" s="12">
        <v>4.7257249667819554</v>
      </c>
    </row>
    <row r="48" spans="1:17" ht="16.5" thickBot="1" x14ac:dyDescent="0.3">
      <c r="A48" s="50">
        <v>202211</v>
      </c>
      <c r="B48" s="3">
        <v>4.5999999999999996</v>
      </c>
      <c r="C48" s="3">
        <v>9.6225494877189597</v>
      </c>
      <c r="D48" s="3">
        <v>2.0264946208281911</v>
      </c>
      <c r="E48" s="3">
        <v>5.9923878414476786</v>
      </c>
      <c r="F48" s="3">
        <v>5.7761480958008606</v>
      </c>
      <c r="G48" s="3">
        <v>9.0002970939661164</v>
      </c>
      <c r="I48" s="10" t="s">
        <v>17</v>
      </c>
      <c r="J48" s="10">
        <v>60</v>
      </c>
    </row>
    <row r="49" spans="1:17" x14ac:dyDescent="0.25">
      <c r="A49" s="50">
        <v>202212</v>
      </c>
      <c r="B49" s="3">
        <v>-6.41</v>
      </c>
      <c r="C49" s="3">
        <v>-6.0696481085695613</v>
      </c>
      <c r="D49" s="3">
        <v>-0.44787355507892895</v>
      </c>
      <c r="E49" s="3">
        <v>0.37921599357307573</v>
      </c>
      <c r="F49" s="3">
        <v>0.74748748483296179</v>
      </c>
      <c r="G49" s="3">
        <v>-1.1274303305692155</v>
      </c>
    </row>
    <row r="50" spans="1:17" ht="16.5" thickBot="1" x14ac:dyDescent="0.3">
      <c r="A50" s="50">
        <v>202301</v>
      </c>
      <c r="B50" s="3">
        <v>6.65</v>
      </c>
      <c r="C50" s="3">
        <v>2.9816561125157128</v>
      </c>
      <c r="D50" s="3">
        <v>-7.8393900561716849</v>
      </c>
      <c r="E50" s="3">
        <v>-3.9500710680040294</v>
      </c>
      <c r="F50" s="3">
        <v>5.1576058343977556</v>
      </c>
      <c r="G50" s="3">
        <v>-11.079674174732672</v>
      </c>
      <c r="I50" s="3" t="s">
        <v>18</v>
      </c>
    </row>
    <row r="51" spans="1:17" x14ac:dyDescent="0.25">
      <c r="A51" s="50">
        <v>202302</v>
      </c>
      <c r="B51" s="3">
        <v>-2.58</v>
      </c>
      <c r="C51" s="3">
        <v>0.30970024872155194</v>
      </c>
      <c r="D51" s="3">
        <v>-6.5570999625727033</v>
      </c>
      <c r="E51" s="3">
        <v>-3.291722299095627</v>
      </c>
      <c r="F51" s="3">
        <v>-5.5116726347457714</v>
      </c>
      <c r="G51" s="3">
        <v>-5.1637819195497965</v>
      </c>
      <c r="I51" s="11"/>
      <c r="J51" s="11" t="s">
        <v>23</v>
      </c>
      <c r="K51" s="11" t="s">
        <v>24</v>
      </c>
      <c r="L51" s="11" t="s">
        <v>25</v>
      </c>
      <c r="M51" s="11" t="s">
        <v>26</v>
      </c>
      <c r="N51" s="11" t="s">
        <v>27</v>
      </c>
    </row>
    <row r="52" spans="1:17" x14ac:dyDescent="0.25">
      <c r="A52" s="50">
        <v>202303</v>
      </c>
      <c r="B52" s="3">
        <v>2.5099999999999998</v>
      </c>
      <c r="C52" s="3">
        <v>15.517655740919528</v>
      </c>
      <c r="D52" s="3">
        <v>1.5027301104500839</v>
      </c>
      <c r="E52" s="3">
        <v>3.8745767132990321</v>
      </c>
      <c r="F52" s="3">
        <v>-0.1538743351173496</v>
      </c>
      <c r="G52" s="3">
        <v>8.8584882028492302</v>
      </c>
      <c r="I52" s="3" t="s">
        <v>19</v>
      </c>
      <c r="J52" s="3">
        <v>1</v>
      </c>
      <c r="K52" s="3">
        <v>515.5914891701816</v>
      </c>
      <c r="L52" s="3">
        <v>515.5914891701816</v>
      </c>
      <c r="M52" s="3">
        <v>23.087071872893013</v>
      </c>
      <c r="N52" s="3">
        <v>1.1332511106194468E-5</v>
      </c>
    </row>
    <row r="53" spans="1:17" x14ac:dyDescent="0.25">
      <c r="A53" s="50">
        <v>202304</v>
      </c>
      <c r="B53" s="3">
        <v>0.61</v>
      </c>
      <c r="C53" s="3">
        <v>6.2265076047585195</v>
      </c>
      <c r="D53" s="3">
        <v>5.2629101010788055</v>
      </c>
      <c r="E53" s="3">
        <v>3.8609735666084668</v>
      </c>
      <c r="F53" s="3">
        <v>-0.50427071908151733</v>
      </c>
      <c r="G53" s="3">
        <v>-0.93381221833421202</v>
      </c>
      <c r="I53" s="3" t="s">
        <v>20</v>
      </c>
      <c r="J53" s="3">
        <v>58</v>
      </c>
      <c r="K53" s="3">
        <v>1295.2836347766463</v>
      </c>
      <c r="L53" s="3">
        <v>22.332476461666314</v>
      </c>
    </row>
    <row r="54" spans="1:17" ht="16.5" thickBot="1" x14ac:dyDescent="0.3">
      <c r="A54" s="50">
        <v>202305</v>
      </c>
      <c r="B54" s="3">
        <v>0.35</v>
      </c>
      <c r="C54" s="3">
        <v>6.5169065098234213</v>
      </c>
      <c r="D54" s="3">
        <v>-5.6379522357562335</v>
      </c>
      <c r="E54" s="3">
        <v>-7.3592187430505502</v>
      </c>
      <c r="F54" s="3">
        <v>-7.0824817853752897</v>
      </c>
      <c r="G54" s="3">
        <v>-4.4967528727029977</v>
      </c>
      <c r="I54" s="10" t="s">
        <v>21</v>
      </c>
      <c r="J54" s="10">
        <v>59</v>
      </c>
      <c r="K54" s="10">
        <v>1810.8751239468279</v>
      </c>
      <c r="L54" s="10"/>
      <c r="M54" s="10"/>
      <c r="N54" s="10"/>
    </row>
    <row r="55" spans="1:17" ht="16.5" thickBot="1" x14ac:dyDescent="0.3">
      <c r="A55" s="50">
        <v>202306</v>
      </c>
      <c r="B55" s="3">
        <v>6.46</v>
      </c>
      <c r="C55" s="3">
        <v>3.5265586960911981</v>
      </c>
      <c r="D55" s="3">
        <v>7.1511657853148058</v>
      </c>
      <c r="E55" s="3">
        <v>0.53864885546790509</v>
      </c>
      <c r="F55" s="3">
        <v>3.978328270506482</v>
      </c>
      <c r="G55" s="3">
        <v>1.2555788001076711</v>
      </c>
    </row>
    <row r="56" spans="1:17" x14ac:dyDescent="0.25">
      <c r="A56" s="50">
        <v>202307</v>
      </c>
      <c r="B56" s="3">
        <v>3.21</v>
      </c>
      <c r="C56" s="3">
        <v>-1.8066686953639717</v>
      </c>
      <c r="D56" s="3">
        <v>0.76435252232746653</v>
      </c>
      <c r="E56" s="3">
        <v>3.1728099276818469</v>
      </c>
      <c r="F56" s="3">
        <v>-8.812455457639917</v>
      </c>
      <c r="G56" s="3">
        <v>-1.6629331118501784</v>
      </c>
      <c r="I56" s="11"/>
      <c r="J56" s="11" t="s">
        <v>28</v>
      </c>
      <c r="K56" s="11" t="s">
        <v>16</v>
      </c>
      <c r="L56" s="11" t="s">
        <v>29</v>
      </c>
      <c r="M56" s="11" t="s">
        <v>30</v>
      </c>
      <c r="N56" s="11" t="s">
        <v>31</v>
      </c>
      <c r="O56" s="11" t="s">
        <v>32</v>
      </c>
      <c r="P56" s="11" t="s">
        <v>33</v>
      </c>
      <c r="Q56" s="11" t="s">
        <v>34</v>
      </c>
    </row>
    <row r="57" spans="1:17" x14ac:dyDescent="0.25">
      <c r="A57" s="50">
        <v>202308</v>
      </c>
      <c r="B57" s="3">
        <v>-2.39</v>
      </c>
      <c r="C57" s="3">
        <v>-2.8791405634492282</v>
      </c>
      <c r="D57" s="3">
        <v>-3.9419132294146784</v>
      </c>
      <c r="E57" s="3">
        <v>-3.8409329393929434</v>
      </c>
      <c r="F57" s="3">
        <v>4.0282766007289919</v>
      </c>
      <c r="G57" s="3">
        <v>-9.3176534222548284</v>
      </c>
      <c r="I57" s="3" t="s">
        <v>22</v>
      </c>
      <c r="J57" s="3">
        <v>2.8578869446906907E-3</v>
      </c>
      <c r="K57" s="3">
        <v>0.62401268006897792</v>
      </c>
      <c r="L57" s="3">
        <v>4.5798539612605018E-3</v>
      </c>
      <c r="M57" s="3">
        <v>0.99636153433811714</v>
      </c>
      <c r="N57" s="3">
        <v>-1.2462392050777094</v>
      </c>
      <c r="O57" s="3">
        <v>1.2519549789670907</v>
      </c>
      <c r="P57" s="3">
        <v>-1.2462392050777094</v>
      </c>
      <c r="Q57" s="3">
        <v>1.2519549789670907</v>
      </c>
    </row>
    <row r="58" spans="1:17" ht="16.5" thickBot="1" x14ac:dyDescent="0.3">
      <c r="A58" s="50">
        <v>202309</v>
      </c>
      <c r="B58" s="3">
        <v>-5.24</v>
      </c>
      <c r="C58" s="3">
        <v>-3.8903175735421267</v>
      </c>
      <c r="D58" s="3">
        <v>-3.3983105220533303</v>
      </c>
      <c r="E58" s="3">
        <v>-6.8649020259750531</v>
      </c>
      <c r="F58" s="3">
        <v>-7.777049914331494</v>
      </c>
      <c r="G58" s="3">
        <v>-14.072362406696929</v>
      </c>
      <c r="I58" s="13" t="s">
        <v>4</v>
      </c>
      <c r="J58" s="13">
        <v>0.53175309556621719</v>
      </c>
      <c r="K58" s="10">
        <v>0.11066890154116604</v>
      </c>
      <c r="L58" s="10">
        <v>4.8049008182160229</v>
      </c>
      <c r="M58" s="10">
        <v>1.1332511106194532E-5</v>
      </c>
      <c r="N58" s="10">
        <v>0.31022522040011757</v>
      </c>
      <c r="O58" s="10">
        <v>0.75328097073231681</v>
      </c>
      <c r="P58" s="10">
        <v>0.31022522040011757</v>
      </c>
      <c r="Q58" s="10">
        <v>0.75328097073231681</v>
      </c>
    </row>
    <row r="59" spans="1:17" x14ac:dyDescent="0.25">
      <c r="A59" s="50">
        <v>202310</v>
      </c>
      <c r="B59" s="3">
        <v>-3.19</v>
      </c>
      <c r="C59" s="3">
        <v>6.6115551892043474</v>
      </c>
      <c r="D59" s="3">
        <v>-5.227629962551668</v>
      </c>
      <c r="E59" s="3">
        <v>1.241650468741599</v>
      </c>
      <c r="F59" s="3">
        <v>7.9224725895423651</v>
      </c>
      <c r="G59" s="3">
        <v>1.2929590748467594</v>
      </c>
    </row>
    <row r="60" spans="1:17" x14ac:dyDescent="0.25">
      <c r="A60" s="50">
        <v>202311</v>
      </c>
      <c r="B60" s="3">
        <v>8.84</v>
      </c>
      <c r="C60" s="3">
        <v>11.627082426487064</v>
      </c>
      <c r="D60" s="3">
        <v>3.8204854462620745</v>
      </c>
      <c r="E60" s="3">
        <v>3.0119363702522288</v>
      </c>
      <c r="F60" s="3">
        <v>10.997951103046175</v>
      </c>
      <c r="G60" s="3">
        <v>-7.9798697148096454E-2</v>
      </c>
    </row>
    <row r="61" spans="1:17" x14ac:dyDescent="0.25">
      <c r="A61" s="50">
        <v>202312</v>
      </c>
      <c r="B61" s="3">
        <v>4.8499999999999996</v>
      </c>
      <c r="C61" s="3">
        <v>-0.98601098820036159</v>
      </c>
      <c r="D61" s="3">
        <v>1.7264703168766242</v>
      </c>
      <c r="E61" s="3">
        <v>1.2114037077506772</v>
      </c>
      <c r="F61" s="3">
        <v>-2.0736307240169092</v>
      </c>
      <c r="G61" s="3">
        <v>4.2260734119202921</v>
      </c>
      <c r="I61" s="3" t="s">
        <v>11</v>
      </c>
      <c r="K61" s="4" t="s">
        <v>3</v>
      </c>
    </row>
    <row r="62" spans="1:17" ht="16.5" thickBot="1" x14ac:dyDescent="0.3"/>
    <row r="63" spans="1:17" x14ac:dyDescent="0.25">
      <c r="I63" s="9" t="s">
        <v>12</v>
      </c>
      <c r="J63" s="9"/>
    </row>
    <row r="64" spans="1:17" x14ac:dyDescent="0.25">
      <c r="I64" s="3" t="s">
        <v>13</v>
      </c>
      <c r="J64" s="3">
        <v>0.37555539256790776</v>
      </c>
    </row>
    <row r="65" spans="9:17" x14ac:dyDescent="0.25">
      <c r="I65" s="3" t="s">
        <v>14</v>
      </c>
      <c r="J65" s="3">
        <v>0.14104185288683529</v>
      </c>
    </row>
    <row r="66" spans="9:17" x14ac:dyDescent="0.25">
      <c r="I66" s="3" t="s">
        <v>15</v>
      </c>
      <c r="J66" s="3">
        <v>0.12623222966074624</v>
      </c>
    </row>
    <row r="67" spans="9:17" x14ac:dyDescent="0.25">
      <c r="I67" s="12" t="s">
        <v>16</v>
      </c>
      <c r="J67" s="12">
        <v>4.76605535732135</v>
      </c>
    </row>
    <row r="68" spans="9:17" ht="16.5" thickBot="1" x14ac:dyDescent="0.3">
      <c r="I68" s="10" t="s">
        <v>17</v>
      </c>
      <c r="J68" s="10">
        <v>60</v>
      </c>
    </row>
    <row r="70" spans="9:17" ht="16.5" thickBot="1" x14ac:dyDescent="0.3">
      <c r="I70" s="3" t="s">
        <v>18</v>
      </c>
    </row>
    <row r="71" spans="9:17" x14ac:dyDescent="0.25">
      <c r="I71" s="11"/>
      <c r="J71" s="11" t="s">
        <v>23</v>
      </c>
      <c r="K71" s="11" t="s">
        <v>24</v>
      </c>
      <c r="L71" s="11" t="s">
        <v>25</v>
      </c>
      <c r="M71" s="11" t="s">
        <v>26</v>
      </c>
      <c r="N71" s="11" t="s">
        <v>27</v>
      </c>
    </row>
    <row r="72" spans="9:17" x14ac:dyDescent="0.25">
      <c r="I72" s="3" t="s">
        <v>19</v>
      </c>
      <c r="J72" s="3">
        <v>1</v>
      </c>
      <c r="K72" s="3">
        <v>216.33269453399635</v>
      </c>
      <c r="L72" s="3">
        <v>216.33269453399635</v>
      </c>
      <c r="M72" s="3">
        <v>9.5236624682235007</v>
      </c>
      <c r="N72" s="3">
        <v>3.1073990868787536E-3</v>
      </c>
    </row>
    <row r="73" spans="9:17" x14ac:dyDescent="0.25">
      <c r="I73" s="3" t="s">
        <v>20</v>
      </c>
      <c r="J73" s="3">
        <v>58</v>
      </c>
      <c r="K73" s="3">
        <v>1317.4864528049891</v>
      </c>
      <c r="L73" s="3">
        <v>22.715283669051537</v>
      </c>
    </row>
    <row r="74" spans="9:17" ht="16.5" thickBot="1" x14ac:dyDescent="0.3">
      <c r="I74" s="10" t="s">
        <v>21</v>
      </c>
      <c r="J74" s="10">
        <v>59</v>
      </c>
      <c r="K74" s="10">
        <v>1533.8191473389854</v>
      </c>
      <c r="L74" s="10"/>
      <c r="M74" s="10"/>
      <c r="N74" s="10"/>
    </row>
    <row r="75" spans="9:17" ht="16.5" thickBot="1" x14ac:dyDescent="0.3"/>
    <row r="76" spans="9:17" x14ac:dyDescent="0.25">
      <c r="I76" s="11"/>
      <c r="J76" s="11" t="s">
        <v>28</v>
      </c>
      <c r="K76" s="11" t="s">
        <v>16</v>
      </c>
      <c r="L76" s="11" t="s">
        <v>29</v>
      </c>
      <c r="M76" s="11" t="s">
        <v>30</v>
      </c>
      <c r="N76" s="11" t="s">
        <v>31</v>
      </c>
      <c r="O76" s="11" t="s">
        <v>32</v>
      </c>
      <c r="P76" s="11" t="s">
        <v>33</v>
      </c>
      <c r="Q76" s="11" t="s">
        <v>34</v>
      </c>
    </row>
    <row r="77" spans="9:17" x14ac:dyDescent="0.25">
      <c r="I77" s="3" t="s">
        <v>22</v>
      </c>
      <c r="J77" s="3">
        <v>-0.67210692928006655</v>
      </c>
      <c r="K77" s="3">
        <v>0.62933814341388628</v>
      </c>
      <c r="L77" s="3">
        <v>-1.0679583564316921</v>
      </c>
      <c r="M77" s="3">
        <v>0.28996425636466894</v>
      </c>
      <c r="N77" s="3">
        <v>-1.9318640943911443</v>
      </c>
      <c r="O77" s="3">
        <v>0.58765023583101106</v>
      </c>
      <c r="P77" s="3">
        <v>-1.9318640943911443</v>
      </c>
      <c r="Q77" s="3">
        <v>0.58765023583101106</v>
      </c>
    </row>
    <row r="78" spans="9:17" ht="16.5" thickBot="1" x14ac:dyDescent="0.3">
      <c r="I78" s="13" t="s">
        <v>4</v>
      </c>
      <c r="J78" s="13">
        <v>0.34444369281556098</v>
      </c>
      <c r="K78" s="10">
        <v>0.11161337462224767</v>
      </c>
      <c r="L78" s="10">
        <v>3.0860431734218321</v>
      </c>
      <c r="M78" s="10">
        <v>3.1073990868787653E-3</v>
      </c>
      <c r="N78" s="10">
        <v>0.12102524936975573</v>
      </c>
      <c r="O78" s="10">
        <v>0.56786213626136628</v>
      </c>
      <c r="P78" s="10">
        <v>0.12102524936975573</v>
      </c>
      <c r="Q78" s="10">
        <v>0.56786213626136628</v>
      </c>
    </row>
    <row r="81" spans="9:17" x14ac:dyDescent="0.25">
      <c r="I81" t="s">
        <v>11</v>
      </c>
      <c r="J81"/>
      <c r="K81" s="8" t="s">
        <v>113</v>
      </c>
      <c r="L81"/>
      <c r="M81"/>
      <c r="N81"/>
      <c r="O81"/>
      <c r="P81"/>
      <c r="Q81"/>
    </row>
    <row r="82" spans="9:17" ht="16.5" thickBot="1" x14ac:dyDescent="0.3">
      <c r="I82"/>
      <c r="J82"/>
      <c r="K82"/>
      <c r="L82"/>
      <c r="M82"/>
      <c r="N82"/>
      <c r="O82"/>
      <c r="P82"/>
      <c r="Q82"/>
    </row>
    <row r="83" spans="9:17" x14ac:dyDescent="0.25">
      <c r="I83" s="7" t="s">
        <v>12</v>
      </c>
      <c r="J83" s="7"/>
      <c r="K83"/>
      <c r="L83"/>
      <c r="M83"/>
      <c r="N83"/>
      <c r="O83"/>
      <c r="P83"/>
      <c r="Q83"/>
    </row>
    <row r="84" spans="9:17" x14ac:dyDescent="0.25">
      <c r="I84" t="s">
        <v>13</v>
      </c>
      <c r="J84">
        <v>0.39360284715928445</v>
      </c>
      <c r="K84"/>
      <c r="L84"/>
      <c r="M84"/>
      <c r="N84"/>
      <c r="O84"/>
      <c r="P84"/>
      <c r="Q84"/>
    </row>
    <row r="85" spans="9:17" x14ac:dyDescent="0.25">
      <c r="I85" t="s">
        <v>14</v>
      </c>
      <c r="J85">
        <v>0.15492320129189505</v>
      </c>
      <c r="K85"/>
      <c r="L85"/>
      <c r="M85"/>
      <c r="N85"/>
      <c r="O85"/>
      <c r="P85"/>
      <c r="Q85"/>
    </row>
    <row r="86" spans="9:17" x14ac:dyDescent="0.25">
      <c r="I86" t="s">
        <v>15</v>
      </c>
      <c r="J86">
        <v>0.14035291165899669</v>
      </c>
      <c r="K86"/>
      <c r="L86"/>
      <c r="M86"/>
      <c r="N86"/>
      <c r="O86"/>
      <c r="P86"/>
      <c r="Q86"/>
    </row>
    <row r="87" spans="9:17" x14ac:dyDescent="0.25">
      <c r="I87" s="49" t="s">
        <v>16</v>
      </c>
      <c r="J87" s="49">
        <v>6.2695968383518341</v>
      </c>
      <c r="K87"/>
      <c r="L87"/>
      <c r="M87"/>
      <c r="N87"/>
      <c r="O87"/>
      <c r="P87"/>
      <c r="Q87"/>
    </row>
    <row r="88" spans="9:17" ht="16.5" thickBot="1" x14ac:dyDescent="0.3">
      <c r="I88" s="5" t="s">
        <v>17</v>
      </c>
      <c r="J88" s="5">
        <v>60</v>
      </c>
      <c r="K88"/>
      <c r="L88"/>
      <c r="M88"/>
      <c r="N88"/>
      <c r="O88"/>
      <c r="P88"/>
      <c r="Q88"/>
    </row>
    <row r="89" spans="9:17" x14ac:dyDescent="0.25">
      <c r="I89"/>
      <c r="J89"/>
      <c r="K89"/>
      <c r="L89"/>
      <c r="M89"/>
      <c r="N89"/>
      <c r="O89"/>
      <c r="P89"/>
      <c r="Q89"/>
    </row>
    <row r="90" spans="9:17" ht="16.5" thickBot="1" x14ac:dyDescent="0.3">
      <c r="I90" t="s">
        <v>18</v>
      </c>
      <c r="J90"/>
      <c r="K90"/>
      <c r="L90"/>
      <c r="M90"/>
      <c r="N90"/>
      <c r="O90"/>
      <c r="P90"/>
      <c r="Q90"/>
    </row>
    <row r="91" spans="9:17" x14ac:dyDescent="0.25">
      <c r="I91" s="6"/>
      <c r="J91" s="6" t="s">
        <v>23</v>
      </c>
      <c r="K91" s="6" t="s">
        <v>24</v>
      </c>
      <c r="L91" s="6" t="s">
        <v>25</v>
      </c>
      <c r="M91" s="6" t="s">
        <v>26</v>
      </c>
      <c r="N91" s="6" t="s">
        <v>27</v>
      </c>
      <c r="O91"/>
      <c r="P91"/>
      <c r="Q91"/>
    </row>
    <row r="92" spans="9:17" x14ac:dyDescent="0.25">
      <c r="I92" t="s">
        <v>19</v>
      </c>
      <c r="J92">
        <v>1</v>
      </c>
      <c r="K92">
        <v>417.95305801409086</v>
      </c>
      <c r="L92">
        <v>417.95305801409086</v>
      </c>
      <c r="M92">
        <v>10.632815489274341</v>
      </c>
      <c r="N92">
        <v>1.8624483080919869E-3</v>
      </c>
      <c r="O92"/>
      <c r="P92"/>
      <c r="Q92"/>
    </row>
    <row r="93" spans="9:17" x14ac:dyDescent="0.25">
      <c r="I93" t="s">
        <v>20</v>
      </c>
      <c r="J93">
        <v>58</v>
      </c>
      <c r="K93">
        <v>2279.8549818973365</v>
      </c>
      <c r="L93">
        <v>39.307844515471317</v>
      </c>
      <c r="M93"/>
      <c r="N93"/>
      <c r="O93"/>
      <c r="P93"/>
      <c r="Q93"/>
    </row>
    <row r="94" spans="9:17" ht="16.5" thickBot="1" x14ac:dyDescent="0.3">
      <c r="I94" s="5" t="s">
        <v>21</v>
      </c>
      <c r="J94" s="5">
        <v>59</v>
      </c>
      <c r="K94" s="5">
        <v>2697.8080399114274</v>
      </c>
      <c r="L94" s="5"/>
      <c r="M94" s="5"/>
      <c r="N94" s="5"/>
      <c r="O94"/>
      <c r="P94"/>
      <c r="Q94"/>
    </row>
    <row r="95" spans="9:17" ht="16.5" thickBot="1" x14ac:dyDescent="0.3">
      <c r="I95"/>
      <c r="J95"/>
      <c r="K95"/>
      <c r="L95"/>
      <c r="M95"/>
      <c r="N95"/>
      <c r="O95"/>
      <c r="P95"/>
      <c r="Q95"/>
    </row>
    <row r="96" spans="9:17" x14ac:dyDescent="0.25">
      <c r="I96" s="6"/>
      <c r="J96" s="6" t="s">
        <v>28</v>
      </c>
      <c r="K96" s="6" t="s">
        <v>16</v>
      </c>
      <c r="L96" s="6" t="s">
        <v>29</v>
      </c>
      <c r="M96" s="6" t="s">
        <v>30</v>
      </c>
      <c r="N96" s="6" t="s">
        <v>31</v>
      </c>
      <c r="O96" s="6" t="s">
        <v>32</v>
      </c>
      <c r="P96" s="6" t="s">
        <v>33</v>
      </c>
      <c r="Q96" s="6" t="s">
        <v>34</v>
      </c>
    </row>
    <row r="97" spans="9:17" x14ac:dyDescent="0.25">
      <c r="I97" t="s">
        <v>22</v>
      </c>
      <c r="J97">
        <v>0.2611213014704391</v>
      </c>
      <c r="K97">
        <v>0.82787465490528889</v>
      </c>
      <c r="L97">
        <v>0.31541163861371274</v>
      </c>
      <c r="M97">
        <v>0.75358123199737359</v>
      </c>
      <c r="N97">
        <v>-1.3960498699341806</v>
      </c>
      <c r="O97">
        <v>1.9182924728750588</v>
      </c>
      <c r="P97">
        <v>-1.3960498699341806</v>
      </c>
      <c r="Q97">
        <v>1.9182924728750588</v>
      </c>
    </row>
    <row r="98" spans="9:17" ht="16.5" thickBot="1" x14ac:dyDescent="0.3">
      <c r="I98" s="48" t="s">
        <v>4</v>
      </c>
      <c r="J98" s="48">
        <v>0.47876336464011354</v>
      </c>
      <c r="K98" s="5">
        <v>0.14682390534437956</v>
      </c>
      <c r="L98" s="5">
        <v>3.2607998235516265</v>
      </c>
      <c r="M98" s="5">
        <v>1.8624483080920034E-3</v>
      </c>
      <c r="N98" s="5">
        <v>0.18486338622178394</v>
      </c>
      <c r="O98" s="5">
        <v>0.7726633430584432</v>
      </c>
      <c r="P98" s="5">
        <v>0.18486338622178394</v>
      </c>
      <c r="Q98" s="5">
        <v>0.7726633430584432</v>
      </c>
    </row>
    <row r="99" spans="9:17" x14ac:dyDescent="0.25">
      <c r="I99"/>
      <c r="J99"/>
      <c r="K99"/>
      <c r="L99"/>
      <c r="M99"/>
      <c r="N99"/>
      <c r="O99"/>
      <c r="P99"/>
      <c r="Q99"/>
    </row>
    <row r="100" spans="9:17" x14ac:dyDescent="0.25">
      <c r="I100"/>
      <c r="J100"/>
      <c r="K100"/>
      <c r="L100"/>
      <c r="M100"/>
      <c r="N100"/>
      <c r="O100"/>
      <c r="P100"/>
      <c r="Q100"/>
    </row>
    <row r="101" spans="9:17" x14ac:dyDescent="0.25">
      <c r="I101"/>
      <c r="J101"/>
      <c r="K101"/>
      <c r="L101"/>
      <c r="M101"/>
      <c r="N101"/>
      <c r="O101"/>
      <c r="P101"/>
      <c r="Q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8166-D539-304D-A27F-B2B2507E438B}">
  <dimension ref="A1:R49"/>
  <sheetViews>
    <sheetView topLeftCell="A21" zoomScale="65" zoomScaleNormal="70" workbookViewId="0">
      <selection activeCell="B48" sqref="B48"/>
    </sheetView>
  </sheetViews>
  <sheetFormatPr defaultColWidth="10.875" defaultRowHeight="15.75" x14ac:dyDescent="0.25"/>
  <cols>
    <col min="1" max="1" width="42" style="33" customWidth="1"/>
    <col min="2" max="4" width="10.875" style="33"/>
    <col min="5" max="5" width="13.875" style="33" bestFit="1" customWidth="1"/>
    <col min="6" max="9" width="10.875" style="33"/>
    <col min="10" max="10" width="13.875" style="33" bestFit="1" customWidth="1"/>
    <col min="11" max="16384" width="10.875" style="33"/>
  </cols>
  <sheetData>
    <row r="1" spans="1:18" x14ac:dyDescent="0.25">
      <c r="A1" s="14" t="s">
        <v>35</v>
      </c>
    </row>
    <row r="2" spans="1:18" x14ac:dyDescent="0.25">
      <c r="A2" s="18" t="s">
        <v>36</v>
      </c>
    </row>
    <row r="3" spans="1:18" x14ac:dyDescent="0.25">
      <c r="A3" s="17" t="s">
        <v>37</v>
      </c>
    </row>
    <row r="5" spans="1:18" x14ac:dyDescent="0.25">
      <c r="A5" s="33" t="s">
        <v>38</v>
      </c>
    </row>
    <row r="6" spans="1:18" x14ac:dyDescent="0.25">
      <c r="A6" s="33" t="s">
        <v>39</v>
      </c>
      <c r="B6" s="14">
        <v>6</v>
      </c>
      <c r="D6" s="33" t="s">
        <v>43</v>
      </c>
    </row>
    <row r="7" spans="1:18" x14ac:dyDescent="0.25">
      <c r="A7" s="33" t="s">
        <v>40</v>
      </c>
      <c r="B7" s="17">
        <f>100*((1+B6/100)^(1/12)-1)</f>
        <v>0.48675505653430484</v>
      </c>
      <c r="D7" s="33" t="s">
        <v>42</v>
      </c>
    </row>
    <row r="8" spans="1:18" x14ac:dyDescent="0.25">
      <c r="A8" s="33" t="s">
        <v>41</v>
      </c>
      <c r="B8" s="17">
        <f>_xlfn.VAR.S('Fama-French '!B2:B61)</f>
        <v>30.905350593220344</v>
      </c>
    </row>
    <row r="10" spans="1:18" x14ac:dyDescent="0.25">
      <c r="A10" s="33" t="s">
        <v>44</v>
      </c>
    </row>
    <row r="11" spans="1:18" x14ac:dyDescent="0.25">
      <c r="B11" s="104" t="s">
        <v>45</v>
      </c>
      <c r="C11" s="104"/>
      <c r="D11" s="104"/>
      <c r="E11" s="104"/>
      <c r="F11" s="104"/>
      <c r="G11" s="104" t="s">
        <v>59</v>
      </c>
      <c r="H11" s="104"/>
      <c r="I11" s="104"/>
      <c r="J11" s="104"/>
      <c r="K11" s="104"/>
      <c r="L11" s="101"/>
      <c r="M11" s="104" t="s">
        <v>60</v>
      </c>
      <c r="N11" s="104"/>
      <c r="O11" s="104"/>
      <c r="P11" s="104"/>
      <c r="Q11" s="104"/>
      <c r="R11" s="104"/>
    </row>
    <row r="12" spans="1:18" x14ac:dyDescent="0.25">
      <c r="B12" s="15" t="s">
        <v>46</v>
      </c>
      <c r="C12" s="15" t="s">
        <v>47</v>
      </c>
      <c r="D12" s="15" t="s">
        <v>48</v>
      </c>
      <c r="E12" s="15" t="s">
        <v>49</v>
      </c>
      <c r="F12" s="15" t="s">
        <v>50</v>
      </c>
      <c r="G12" s="15" t="s">
        <v>26</v>
      </c>
      <c r="H12" s="15" t="s">
        <v>54</v>
      </c>
      <c r="I12" s="15" t="s">
        <v>55</v>
      </c>
      <c r="J12" s="15" t="s">
        <v>56</v>
      </c>
      <c r="K12" s="15" t="s">
        <v>57</v>
      </c>
      <c r="L12" s="16" t="s">
        <v>58</v>
      </c>
      <c r="M12" s="15" t="s">
        <v>61</v>
      </c>
      <c r="N12" s="15" t="s">
        <v>62</v>
      </c>
      <c r="O12" s="15" t="s">
        <v>63</v>
      </c>
      <c r="P12" s="15" t="s">
        <v>64</v>
      </c>
      <c r="Q12" s="15" t="s">
        <v>65</v>
      </c>
      <c r="R12" s="15" t="s">
        <v>112</v>
      </c>
    </row>
    <row r="13" spans="1:18" x14ac:dyDescent="0.25">
      <c r="B13" s="19" t="s">
        <v>51</v>
      </c>
      <c r="C13" s="27"/>
      <c r="D13" s="22" t="s">
        <v>67</v>
      </c>
      <c r="E13" s="22" t="s">
        <v>70</v>
      </c>
      <c r="F13" s="30" t="s">
        <v>73</v>
      </c>
      <c r="G13" s="19" t="s">
        <v>51</v>
      </c>
      <c r="H13" s="22" t="s">
        <v>67</v>
      </c>
      <c r="I13" s="22" t="s">
        <v>73</v>
      </c>
      <c r="J13" s="22" t="s">
        <v>73</v>
      </c>
      <c r="K13" s="27"/>
      <c r="L13" s="22"/>
      <c r="M13" s="19"/>
      <c r="N13" s="22"/>
      <c r="O13" s="22"/>
      <c r="P13" s="22"/>
      <c r="Q13" s="22"/>
      <c r="R13" s="25"/>
    </row>
    <row r="14" spans="1:18" x14ac:dyDescent="0.25">
      <c r="B14" s="19" t="s">
        <v>52</v>
      </c>
      <c r="C14" s="27"/>
      <c r="D14" s="22" t="s">
        <v>68</v>
      </c>
      <c r="E14" s="22" t="s">
        <v>71</v>
      </c>
      <c r="F14" s="30" t="s">
        <v>68</v>
      </c>
      <c r="G14" s="19" t="s">
        <v>52</v>
      </c>
      <c r="H14" s="22" t="s">
        <v>68</v>
      </c>
      <c r="I14" s="22" t="s">
        <v>59</v>
      </c>
      <c r="J14" s="22" t="s">
        <v>68</v>
      </c>
      <c r="K14" s="27" t="s">
        <v>74</v>
      </c>
      <c r="L14" s="22" t="s">
        <v>76</v>
      </c>
      <c r="M14" s="19" t="s">
        <v>77</v>
      </c>
      <c r="N14" s="22"/>
      <c r="O14" s="22"/>
      <c r="P14" s="98" t="s">
        <v>80</v>
      </c>
      <c r="Q14" s="99"/>
      <c r="R14" s="100"/>
    </row>
    <row r="15" spans="1:18" x14ac:dyDescent="0.25">
      <c r="B15" s="19" t="s">
        <v>53</v>
      </c>
      <c r="C15" s="27" t="s">
        <v>66</v>
      </c>
      <c r="D15" s="22" t="s">
        <v>69</v>
      </c>
      <c r="E15" s="22" t="s">
        <v>72</v>
      </c>
      <c r="F15" s="30" t="s">
        <v>69</v>
      </c>
      <c r="G15" s="19" t="s">
        <v>53</v>
      </c>
      <c r="H15" s="22" t="s">
        <v>69</v>
      </c>
      <c r="I15" s="22" t="s">
        <v>72</v>
      </c>
      <c r="J15" s="22" t="s">
        <v>9</v>
      </c>
      <c r="K15" s="27" t="s">
        <v>75</v>
      </c>
      <c r="L15" s="22" t="s">
        <v>41</v>
      </c>
      <c r="M15" s="19" t="s">
        <v>78</v>
      </c>
      <c r="N15" s="22" t="s">
        <v>78</v>
      </c>
      <c r="O15" s="22" t="s">
        <v>79</v>
      </c>
      <c r="P15" s="22" t="s">
        <v>72</v>
      </c>
      <c r="Q15" s="22" t="s">
        <v>66</v>
      </c>
      <c r="R15" s="25" t="s">
        <v>41</v>
      </c>
    </row>
    <row r="16" spans="1:18" x14ac:dyDescent="0.25">
      <c r="A16" s="33" t="s">
        <v>1</v>
      </c>
      <c r="B16" s="20">
        <f>$B$6</f>
        <v>6</v>
      </c>
      <c r="C16" s="28">
        <f>'CAPM Regressions '!J18</f>
        <v>0.81973903520472358</v>
      </c>
      <c r="D16" s="23">
        <f>B16*C16</f>
        <v>4.918434211228341</v>
      </c>
      <c r="E16" s="23">
        <f>F16-D16</f>
        <v>1.081565788771659</v>
      </c>
      <c r="F16" s="31">
        <v>6</v>
      </c>
      <c r="G16" s="20">
        <f>100*((1+B16/100)^(1/12)-1)</f>
        <v>0.48675505653430484</v>
      </c>
      <c r="H16" s="23">
        <f>G16*C16</f>
        <v>0.39901212042445172</v>
      </c>
      <c r="I16" s="23">
        <f>J16-H16</f>
        <v>8.774293610985312E-2</v>
      </c>
      <c r="J16" s="23">
        <f>100*((1+F16/100)^(1/12)-1)</f>
        <v>0.48675505653430484</v>
      </c>
      <c r="K16" s="28">
        <f>'CAPM Regressions '!J7</f>
        <v>4.4439543225805798</v>
      </c>
      <c r="L16" s="23">
        <f>K16^2</f>
        <v>19.74873002118262</v>
      </c>
      <c r="M16" s="20">
        <f>I16/L16</f>
        <v>4.4429660041804949E-3</v>
      </c>
      <c r="N16" s="23">
        <f>M16/$M$23</f>
        <v>0.50876594286341104</v>
      </c>
      <c r="O16" s="23">
        <f>N16^2</f>
        <v>0.25884278461769561</v>
      </c>
      <c r="P16" s="23">
        <f>N16*I16</f>
        <v>4.464061761953346E-2</v>
      </c>
      <c r="Q16" s="23">
        <f>N16*C16</f>
        <v>0.41705530314787409</v>
      </c>
      <c r="R16" s="26">
        <f>O16*L16</f>
        <v>5.111816271345992</v>
      </c>
    </row>
    <row r="17" spans="1:18" x14ac:dyDescent="0.25">
      <c r="A17" s="33" t="s">
        <v>2</v>
      </c>
      <c r="B17" s="20">
        <f t="shared" ref="B17:B20" si="0">$B$6</f>
        <v>6</v>
      </c>
      <c r="C17" s="28">
        <f>'CAPM Regressions '!J38</f>
        <v>0.480415407959079</v>
      </c>
      <c r="D17" s="23">
        <f t="shared" ref="D17:D20" si="1">B17*C17</f>
        <v>2.882492447754474</v>
      </c>
      <c r="E17" s="23">
        <f t="shared" ref="E17:E20" si="2">F17-D17</f>
        <v>0.617507552245526</v>
      </c>
      <c r="F17" s="31">
        <v>3.5</v>
      </c>
      <c r="G17" s="20">
        <f t="shared" ref="G17:G20" si="3">100*((1+B17/100)^(1/12)-1)</f>
        <v>0.48675505653430484</v>
      </c>
      <c r="H17" s="23">
        <f t="shared" ref="H17:H20" si="4">G17*C17</f>
        <v>0.23384462906107262</v>
      </c>
      <c r="I17" s="23">
        <f t="shared" ref="I17:I19" si="5">J17-H17</f>
        <v>5.3245242846591601E-2</v>
      </c>
      <c r="J17" s="23">
        <f t="shared" ref="J17:J20" si="6">100*((1+F17/100)^(1/12)-1)</f>
        <v>0.28708987190766422</v>
      </c>
      <c r="K17" s="28">
        <f>'CAPM Regressions '!J27</f>
        <v>4.3662248840436471</v>
      </c>
      <c r="L17" s="23">
        <f t="shared" ref="L17:L20" si="7">K17^2</f>
        <v>19.06391973804196</v>
      </c>
      <c r="M17" s="20">
        <f t="shared" ref="M17:M19" si="8">I17/L17</f>
        <v>2.7929850512505554E-3</v>
      </c>
      <c r="N17" s="23">
        <f t="shared" ref="N17:N19" si="9">M17/$M$23</f>
        <v>0.3198259162158501</v>
      </c>
      <c r="O17" s="23">
        <f t="shared" ref="O17:O20" si="10">N17^2</f>
        <v>0.10228861668330796</v>
      </c>
      <c r="P17" s="23">
        <f t="shared" ref="P17:P20" si="11">N17*I17</f>
        <v>1.7029208577546598E-2</v>
      </c>
      <c r="Q17" s="23">
        <f t="shared" ref="Q17:Q20" si="12">N17*C17</f>
        <v>0.15364929801472385</v>
      </c>
      <c r="R17" s="26">
        <f t="shared" ref="R17:R20" si="13">O17*L17</f>
        <v>1.950021978565923</v>
      </c>
    </row>
    <row r="18" spans="1:18" x14ac:dyDescent="0.25">
      <c r="A18" s="33" t="s">
        <v>8</v>
      </c>
      <c r="B18" s="20">
        <f t="shared" si="0"/>
        <v>6</v>
      </c>
      <c r="C18" s="28">
        <f>'CAPM Regressions '!J58</f>
        <v>0.53175309556621719</v>
      </c>
      <c r="D18" s="23">
        <f t="shared" si="1"/>
        <v>3.1905185733973029</v>
      </c>
      <c r="E18" s="23">
        <f t="shared" si="2"/>
        <v>0.10948142660269689</v>
      </c>
      <c r="F18" s="31">
        <v>3.3</v>
      </c>
      <c r="G18" s="20">
        <f t="shared" si="3"/>
        <v>0.48675505653430484</v>
      </c>
      <c r="H18" s="23">
        <f t="shared" si="4"/>
        <v>0.25883350809462563</v>
      </c>
      <c r="I18" s="23">
        <f t="shared" si="5"/>
        <v>1.2092753382041577E-2</v>
      </c>
      <c r="J18" s="23">
        <f t="shared" si="6"/>
        <v>0.27092626147666721</v>
      </c>
      <c r="K18" s="28">
        <f>'CAPM Regressions '!J47</f>
        <v>4.7257249667819554</v>
      </c>
      <c r="L18" s="23">
        <f t="shared" si="7"/>
        <v>22.332476461666314</v>
      </c>
      <c r="M18" s="20">
        <f t="shared" si="8"/>
        <v>5.4148734480024109E-4</v>
      </c>
      <c r="N18" s="23">
        <f t="shared" si="9"/>
        <v>6.2005948113643919E-2</v>
      </c>
      <c r="O18" s="23">
        <f t="shared" si="10"/>
        <v>3.8447376014719018E-3</v>
      </c>
      <c r="P18" s="23">
        <f t="shared" si="11"/>
        <v>7.4982263875796203E-4</v>
      </c>
      <c r="Q18" s="23">
        <f t="shared" si="12"/>
        <v>3.2971854852948401E-2</v>
      </c>
      <c r="R18" s="26">
        <f t="shared" si="13"/>
        <v>8.5862511986154647E-2</v>
      </c>
    </row>
    <row r="19" spans="1:18" x14ac:dyDescent="0.25">
      <c r="A19" s="33" t="s">
        <v>3</v>
      </c>
      <c r="B19" s="20">
        <f t="shared" si="0"/>
        <v>6</v>
      </c>
      <c r="C19" s="28">
        <f>'CAPM Regressions '!J78</f>
        <v>0.34444369281556098</v>
      </c>
      <c r="D19" s="23">
        <f t="shared" si="1"/>
        <v>2.0666621568933659</v>
      </c>
      <c r="E19" s="23">
        <f t="shared" si="2"/>
        <v>0.13333784310663432</v>
      </c>
      <c r="F19" s="31">
        <v>2.2000000000000002</v>
      </c>
      <c r="G19" s="20">
        <f t="shared" si="3"/>
        <v>0.48675505653430484</v>
      </c>
      <c r="H19" s="23">
        <f t="shared" si="4"/>
        <v>0.1676597091693231</v>
      </c>
      <c r="I19" s="23">
        <f t="shared" si="5"/>
        <v>1.3850586550321509E-2</v>
      </c>
      <c r="J19" s="23">
        <f t="shared" si="6"/>
        <v>0.18151029571964461</v>
      </c>
      <c r="K19" s="28">
        <f>'CAPM Regressions '!J67</f>
        <v>4.76605535732135</v>
      </c>
      <c r="L19" s="23">
        <f t="shared" si="7"/>
        <v>22.715283669051541</v>
      </c>
      <c r="M19" s="20">
        <f t="shared" si="8"/>
        <v>6.0974746131796072E-4</v>
      </c>
      <c r="N19" s="23">
        <f t="shared" si="9"/>
        <v>6.9822443334950385E-2</v>
      </c>
      <c r="O19" s="23">
        <f t="shared" si="10"/>
        <v>4.8751735932623576E-3</v>
      </c>
      <c r="P19" s="23">
        <f t="shared" si="11"/>
        <v>9.6708179456564945E-4</v>
      </c>
      <c r="Q19" s="23">
        <f t="shared" si="12"/>
        <v>2.4049900223695565E-2</v>
      </c>
      <c r="R19" s="26">
        <f t="shared" si="13"/>
        <v>0.11074095110682375</v>
      </c>
    </row>
    <row r="20" spans="1:18" x14ac:dyDescent="0.25">
      <c r="A20" s="33" t="s">
        <v>113</v>
      </c>
      <c r="B20" s="20">
        <f t="shared" si="0"/>
        <v>6</v>
      </c>
      <c r="C20" s="28">
        <f>'CAPM Regressions '!J98</f>
        <v>0.47876336464011354</v>
      </c>
      <c r="D20" s="23">
        <f t="shared" si="1"/>
        <v>2.8725801878406814</v>
      </c>
      <c r="E20" s="23">
        <f t="shared" si="2"/>
        <v>0.12741981215931864</v>
      </c>
      <c r="F20" s="31">
        <v>3</v>
      </c>
      <c r="G20" s="20">
        <f t="shared" si="3"/>
        <v>0.48675505653430484</v>
      </c>
      <c r="H20" s="23">
        <f t="shared" si="4"/>
        <v>0.23304048862195248</v>
      </c>
      <c r="I20" s="23">
        <f>J20-H20</f>
        <v>1.3586488608416158E-2</v>
      </c>
      <c r="J20" s="23">
        <f t="shared" si="6"/>
        <v>0.24662697723036864</v>
      </c>
      <c r="K20" s="28">
        <f>'CAPM Regressions '!J87</f>
        <v>6.2695968383518341</v>
      </c>
      <c r="L20" s="23">
        <f t="shared" si="7"/>
        <v>39.307844515471317</v>
      </c>
      <c r="M20" s="20">
        <f>I20/L20</f>
        <v>3.4564318588032992E-4</v>
      </c>
      <c r="N20" s="23">
        <f>M20/$M$23</f>
        <v>3.9579749472144585E-2</v>
      </c>
      <c r="O20" s="23">
        <f t="shared" si="10"/>
        <v>1.5665565682777295E-3</v>
      </c>
      <c r="P20" s="23">
        <f t="shared" si="11"/>
        <v>5.3774981532725787E-4</v>
      </c>
      <c r="Q20" s="23">
        <f t="shared" si="12"/>
        <v>1.8949334028896699E-2</v>
      </c>
      <c r="R20" s="26">
        <f t="shared" si="13"/>
        <v>6.1577962010551317E-2</v>
      </c>
    </row>
    <row r="21" spans="1:18" x14ac:dyDescent="0.25">
      <c r="B21" s="21"/>
      <c r="C21" s="29"/>
      <c r="D21" s="24"/>
      <c r="E21" s="24"/>
      <c r="F21" s="32"/>
      <c r="G21" s="21"/>
      <c r="H21" s="24"/>
      <c r="I21" s="24"/>
      <c r="J21" s="24"/>
      <c r="K21" s="29"/>
      <c r="L21" s="24"/>
      <c r="M21" s="20"/>
      <c r="N21" s="23"/>
      <c r="O21" s="23"/>
      <c r="P21" s="23"/>
      <c r="Q21" s="23"/>
      <c r="R21" s="26"/>
    </row>
    <row r="22" spans="1:18" x14ac:dyDescent="0.25">
      <c r="M22" s="42"/>
      <c r="N22" s="34"/>
      <c r="O22" s="34"/>
      <c r="P22" s="34"/>
      <c r="Q22" s="34"/>
      <c r="R22" s="43"/>
    </row>
    <row r="23" spans="1:18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4" t="s">
        <v>81</v>
      </c>
      <c r="M23" s="44">
        <f>SUM(M16:M20)</f>
        <v>8.7328290474295821E-3</v>
      </c>
      <c r="N23" s="45">
        <f>SUM(N16:N20)</f>
        <v>1</v>
      </c>
      <c r="O23" s="45">
        <f>SUM(O16:O20)</f>
        <v>0.37141786906401558</v>
      </c>
      <c r="P23" s="45">
        <f t="shared" ref="P23:R23" si="14">SUM(P16:P20)</f>
        <v>6.3924480445730916E-2</v>
      </c>
      <c r="Q23" s="45">
        <f t="shared" si="14"/>
        <v>0.64667569026813854</v>
      </c>
      <c r="R23" s="45">
        <f t="shared" si="14"/>
        <v>7.3200196750154438</v>
      </c>
    </row>
    <row r="24" spans="1:18" x14ac:dyDescent="0.25">
      <c r="A24" s="35"/>
      <c r="B24" s="101" t="s">
        <v>82</v>
      </c>
      <c r="C24" s="102"/>
      <c r="D24" s="102"/>
      <c r="E24" s="103"/>
      <c r="F24" s="35"/>
      <c r="G24" s="101" t="s">
        <v>85</v>
      </c>
      <c r="H24" s="102"/>
      <c r="I24" s="102"/>
      <c r="J24" s="103"/>
      <c r="K24" s="35"/>
    </row>
    <row r="25" spans="1:18" x14ac:dyDescent="0.25">
      <c r="A25" s="35"/>
      <c r="B25" s="35"/>
      <c r="C25" s="35"/>
      <c r="D25" s="35" t="s">
        <v>76</v>
      </c>
      <c r="E25" s="35" t="s">
        <v>83</v>
      </c>
      <c r="F25" s="35"/>
      <c r="G25" s="35" t="s">
        <v>86</v>
      </c>
      <c r="H25" s="35"/>
      <c r="I25" s="35" t="s">
        <v>20</v>
      </c>
      <c r="J25" s="35" t="s">
        <v>83</v>
      </c>
      <c r="K25" s="35"/>
    </row>
    <row r="26" spans="1:18" x14ac:dyDescent="0.25">
      <c r="A26" s="35"/>
      <c r="B26" s="35" t="s">
        <v>72</v>
      </c>
      <c r="C26" s="35" t="s">
        <v>66</v>
      </c>
      <c r="D26" s="35" t="s">
        <v>41</v>
      </c>
      <c r="E26" s="35" t="s">
        <v>84</v>
      </c>
      <c r="F26" s="35"/>
      <c r="G26" s="35" t="s">
        <v>69</v>
      </c>
      <c r="H26" s="35" t="s">
        <v>66</v>
      </c>
      <c r="I26" s="35" t="s">
        <v>41</v>
      </c>
      <c r="J26" s="35" t="s">
        <v>84</v>
      </c>
      <c r="K26" s="35"/>
    </row>
    <row r="27" spans="1:18" x14ac:dyDescent="0.25">
      <c r="B27" s="17">
        <f>P23</f>
        <v>6.3924480445730916E-2</v>
      </c>
      <c r="C27" s="17">
        <f>Q23</f>
        <v>0.64667569026813854</v>
      </c>
      <c r="D27" s="17">
        <f>R23</f>
        <v>7.3200196750154438</v>
      </c>
      <c r="E27" s="17">
        <f>B27/D27</f>
        <v>8.7328290474295821E-3</v>
      </c>
      <c r="G27" s="23">
        <f>B7</f>
        <v>0.48675505653430484</v>
      </c>
      <c r="H27" s="17">
        <v>1</v>
      </c>
      <c r="I27" s="17">
        <f>B8</f>
        <v>30.905350593220344</v>
      </c>
      <c r="J27" s="17">
        <f>G27/I27</f>
        <v>1.5749863605853526E-2</v>
      </c>
    </row>
    <row r="30" spans="1:18" x14ac:dyDescent="0.25">
      <c r="A30" s="36" t="s">
        <v>87</v>
      </c>
    </row>
    <row r="31" spans="1:18" x14ac:dyDescent="0.25">
      <c r="A31" s="33" t="s">
        <v>88</v>
      </c>
      <c r="B31" s="17">
        <f>E27</f>
        <v>8.7328290474295821E-3</v>
      </c>
    </row>
    <row r="32" spans="1:18" x14ac:dyDescent="0.25">
      <c r="A32" s="33" t="s">
        <v>89</v>
      </c>
      <c r="B32" s="17">
        <f>J27</f>
        <v>1.5749863605853526E-2</v>
      </c>
    </row>
    <row r="33" spans="1:3" x14ac:dyDescent="0.25">
      <c r="A33" s="33" t="s">
        <v>90</v>
      </c>
      <c r="B33" s="46">
        <f>B31/B32</f>
        <v>0.55447013802608269</v>
      </c>
    </row>
    <row r="34" spans="1:3" x14ac:dyDescent="0.25">
      <c r="A34" s="33" t="s">
        <v>91</v>
      </c>
      <c r="B34" s="46">
        <f>B33/(1+(1-C27)*B33)</f>
        <v>0.4636395446724218</v>
      </c>
    </row>
    <row r="35" spans="1:3" x14ac:dyDescent="0.25">
      <c r="A35" s="33" t="s">
        <v>92</v>
      </c>
      <c r="B35" s="46">
        <f>B36-B34</f>
        <v>0.53636045532757826</v>
      </c>
    </row>
    <row r="36" spans="1:3" x14ac:dyDescent="0.25">
      <c r="B36" s="37">
        <v>1</v>
      </c>
    </row>
    <row r="38" spans="1:3" x14ac:dyDescent="0.25">
      <c r="A38" s="36" t="s">
        <v>93</v>
      </c>
    </row>
    <row r="39" spans="1:3" x14ac:dyDescent="0.25">
      <c r="A39" s="33" t="s">
        <v>1</v>
      </c>
      <c r="B39" s="46">
        <f>N16*$B$34</f>
        <v>0.23588401009402726</v>
      </c>
    </row>
    <row r="40" spans="1:3" x14ac:dyDescent="0.25">
      <c r="A40" s="33" t="s">
        <v>2</v>
      </c>
      <c r="B40" s="46">
        <f t="shared" ref="B40:B42" si="15">N17*$B$34</f>
        <v>0.14828394216875687</v>
      </c>
    </row>
    <row r="41" spans="1:3" x14ac:dyDescent="0.25">
      <c r="A41" s="33" t="s">
        <v>8</v>
      </c>
      <c r="B41" s="46">
        <f>N18*$B$34</f>
        <v>2.8748409550391679E-2</v>
      </c>
    </row>
    <row r="42" spans="1:3" x14ac:dyDescent="0.25">
      <c r="A42" s="33" t="s">
        <v>3</v>
      </c>
      <c r="B42" s="46">
        <f t="shared" si="15"/>
        <v>3.2372445835732372E-2</v>
      </c>
    </row>
    <row r="43" spans="1:3" x14ac:dyDescent="0.25">
      <c r="A43" s="33" t="s">
        <v>113</v>
      </c>
      <c r="B43" s="46">
        <f>N20*$B$34</f>
        <v>1.8350737023513641E-2</v>
      </c>
    </row>
    <row r="44" spans="1:3" x14ac:dyDescent="0.25">
      <c r="A44" s="33" t="s">
        <v>51</v>
      </c>
      <c r="B44" s="46">
        <f>B35</f>
        <v>0.53636045532757826</v>
      </c>
      <c r="C44" s="47">
        <f>SUM(B39:B44)</f>
        <v>1</v>
      </c>
    </row>
    <row r="45" spans="1:3" x14ac:dyDescent="0.25">
      <c r="A45" s="33" t="s">
        <v>72</v>
      </c>
      <c r="B45" s="33">
        <f>B34*B27</f>
        <v>2.9637917007279812E-2</v>
      </c>
    </row>
    <row r="46" spans="1:3" x14ac:dyDescent="0.25">
      <c r="A46" s="33" t="s">
        <v>66</v>
      </c>
      <c r="B46" s="33">
        <f>B34*C27+B35*H27</f>
        <v>0.83618487791422202</v>
      </c>
    </row>
    <row r="47" spans="1:3" x14ac:dyDescent="0.25">
      <c r="A47" s="33" t="s">
        <v>94</v>
      </c>
      <c r="B47" s="33">
        <f>B46^2*B8</f>
        <v>21.609180298955351</v>
      </c>
    </row>
    <row r="48" spans="1:3" x14ac:dyDescent="0.25">
      <c r="A48" s="33" t="s">
        <v>95</v>
      </c>
      <c r="B48" s="33">
        <f>B34^2*D27</f>
        <v>1.5735233418245891</v>
      </c>
    </row>
    <row r="49" spans="1:2" x14ac:dyDescent="0.25">
      <c r="A49" s="33" t="s">
        <v>96</v>
      </c>
      <c r="B49" s="33">
        <f>B47+B48</f>
        <v>23.182703640779941</v>
      </c>
    </row>
  </sheetData>
  <mergeCells count="6">
    <mergeCell ref="P14:R14"/>
    <mergeCell ref="B24:E24"/>
    <mergeCell ref="G24:J24"/>
    <mergeCell ref="B11:F11"/>
    <mergeCell ref="G11:L11"/>
    <mergeCell ref="M11:R1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325F-CF79-3C4D-8DE5-C69B8CEF2DC3}">
  <dimension ref="A2:T138"/>
  <sheetViews>
    <sheetView zoomScale="75" workbookViewId="0">
      <selection activeCell="M132" sqref="M132"/>
    </sheetView>
  </sheetViews>
  <sheetFormatPr defaultColWidth="10.875" defaultRowHeight="15.75" x14ac:dyDescent="0.25"/>
  <cols>
    <col min="1" max="1" width="11.625" style="3" bestFit="1" customWidth="1"/>
    <col min="2" max="16384" width="10.875" style="3"/>
  </cols>
  <sheetData>
    <row r="2" spans="1:20" x14ac:dyDescent="0.25">
      <c r="A2" s="4" t="s">
        <v>93</v>
      </c>
      <c r="B2" s="46">
        <f>'Portfolio Construction'!B44</f>
        <v>0.53636045532757826</v>
      </c>
      <c r="C2" s="51"/>
      <c r="D2" s="51"/>
      <c r="E2" s="46">
        <f>'Portfolio Construction'!B39</f>
        <v>0.23588401009402726</v>
      </c>
      <c r="F2" s="46">
        <f>'Portfolio Construction'!B40</f>
        <v>0.14828394216875687</v>
      </c>
      <c r="G2" s="46">
        <f>'Portfolio Construction'!B41</f>
        <v>2.8748409550391679E-2</v>
      </c>
      <c r="H2" s="46">
        <f>'Portfolio Construction'!B42</f>
        <v>3.2372445835732372E-2</v>
      </c>
      <c r="I2" s="46">
        <f>'Portfolio Construction'!B43</f>
        <v>1.8350737023513641E-2</v>
      </c>
      <c r="J2" s="51">
        <f>SUM(B2:I2)</f>
        <v>1</v>
      </c>
    </row>
    <row r="4" spans="1:20" x14ac:dyDescent="0.25">
      <c r="A4" s="4" t="s">
        <v>0</v>
      </c>
      <c r="B4" s="4" t="s">
        <v>4</v>
      </c>
      <c r="C4" s="4" t="s">
        <v>5</v>
      </c>
      <c r="D4" s="4" t="s">
        <v>6</v>
      </c>
      <c r="E4" s="4" t="s">
        <v>1</v>
      </c>
      <c r="F4" s="4" t="s">
        <v>2</v>
      </c>
      <c r="G4" s="4" t="s">
        <v>8</v>
      </c>
      <c r="H4" s="4" t="s">
        <v>3</v>
      </c>
      <c r="I4" s="4" t="s">
        <v>113</v>
      </c>
      <c r="J4" s="4" t="s">
        <v>97</v>
      </c>
    </row>
    <row r="5" spans="1:20" x14ac:dyDescent="0.25">
      <c r="A5" s="1">
        <v>43466</v>
      </c>
      <c r="B5" s="3">
        <v>8.4</v>
      </c>
      <c r="C5" s="3">
        <v>2.9</v>
      </c>
      <c r="D5" s="3">
        <v>-0.46</v>
      </c>
      <c r="E5" s="3">
        <v>2.6057880347869036</v>
      </c>
      <c r="F5" s="3">
        <v>2.9128131361133116</v>
      </c>
      <c r="G5" s="3">
        <v>1.4373288026812139</v>
      </c>
      <c r="H5" s="3">
        <v>-2.273324584713011</v>
      </c>
      <c r="I5" s="3">
        <v>2.7585718352018054</v>
      </c>
      <c r="J5" s="3">
        <f>$B$2*B5+$E$2*E5+$F$2*F5+$G$2*G5+$H$2*H5+$I$2*I5</f>
        <v>5.5703646368767012</v>
      </c>
    </row>
    <row r="6" spans="1:20" x14ac:dyDescent="0.25">
      <c r="A6" s="1">
        <v>43497</v>
      </c>
      <c r="B6" s="3">
        <v>3.4</v>
      </c>
      <c r="C6" s="3">
        <v>2.0499999999999998</v>
      </c>
      <c r="D6" s="3">
        <v>-2.67</v>
      </c>
      <c r="E6" s="3">
        <v>7.0976144658543321</v>
      </c>
      <c r="F6" s="3">
        <v>2.4950726997402772</v>
      </c>
      <c r="G6" s="3">
        <v>-5.9768105100711706</v>
      </c>
      <c r="H6" s="3">
        <v>4.2770156147317966</v>
      </c>
      <c r="I6" s="3">
        <v>4.7032473241525068</v>
      </c>
      <c r="J6" s="3">
        <f t="shared" ref="J6:J63" si="0">$B$2*B6+$E$2*E6+$F$2*F6+$G$2*G6+$H$2*H6+$I$2*I6</f>
        <v>3.9207602411159366</v>
      </c>
      <c r="L6" t="s">
        <v>11</v>
      </c>
      <c r="M6"/>
      <c r="N6" s="8" t="s">
        <v>1</v>
      </c>
      <c r="O6"/>
      <c r="P6"/>
      <c r="Q6"/>
      <c r="R6"/>
      <c r="S6"/>
      <c r="T6"/>
    </row>
    <row r="7" spans="1:20" ht="16.5" thickBot="1" x14ac:dyDescent="0.3">
      <c r="A7" s="1">
        <v>43525</v>
      </c>
      <c r="B7" s="3">
        <v>1.1000000000000001</v>
      </c>
      <c r="C7" s="3">
        <v>-3.05</v>
      </c>
      <c r="D7" s="3">
        <v>-4.17</v>
      </c>
      <c r="E7" s="3">
        <v>5.5349656860106409</v>
      </c>
      <c r="F7" s="3">
        <v>2.7938431556528323</v>
      </c>
      <c r="G7" s="3">
        <v>3.1624574262296492</v>
      </c>
      <c r="H7" s="3">
        <v>3.6927014095824675</v>
      </c>
      <c r="I7" s="3">
        <v>3.4816447476814463</v>
      </c>
      <c r="J7" s="3">
        <f t="shared" si="0"/>
        <v>2.584236624348935</v>
      </c>
      <c r="L7"/>
      <c r="M7"/>
      <c r="N7"/>
      <c r="O7" t="s">
        <v>51</v>
      </c>
      <c r="P7" t="s">
        <v>102</v>
      </c>
      <c r="Q7"/>
      <c r="R7"/>
      <c r="S7"/>
      <c r="T7"/>
    </row>
    <row r="8" spans="1:20" x14ac:dyDescent="0.25">
      <c r="A8" s="1">
        <v>43556</v>
      </c>
      <c r="B8" s="3">
        <v>3.97</v>
      </c>
      <c r="C8" s="3">
        <v>-1.74</v>
      </c>
      <c r="D8" s="3">
        <v>2.15</v>
      </c>
      <c r="E8" s="3">
        <v>10.524298419447462</v>
      </c>
      <c r="F8" s="3">
        <v>0.79864930972017767</v>
      </c>
      <c r="G8" s="3">
        <v>5.3987835392999441</v>
      </c>
      <c r="H8" s="3">
        <v>-3.4909220115060933</v>
      </c>
      <c r="I8" s="3">
        <v>0.369326668076563</v>
      </c>
      <c r="J8" s="3">
        <f t="shared" si="0"/>
        <v>4.7792657634007538</v>
      </c>
      <c r="L8" s="7" t="s">
        <v>12</v>
      </c>
      <c r="M8" s="7"/>
      <c r="N8"/>
      <c r="O8" t="s">
        <v>5</v>
      </c>
      <c r="P8" t="s">
        <v>100</v>
      </c>
      <c r="Q8"/>
      <c r="R8"/>
      <c r="S8"/>
      <c r="T8"/>
    </row>
    <row r="9" spans="1:20" x14ac:dyDescent="0.25">
      <c r="A9" s="1">
        <v>43586</v>
      </c>
      <c r="B9" s="3">
        <v>-6.94</v>
      </c>
      <c r="C9" s="3">
        <v>-1.32</v>
      </c>
      <c r="D9" s="3">
        <v>-2.37</v>
      </c>
      <c r="E9" s="3">
        <v>-5.508646239281723</v>
      </c>
      <c r="F9" s="3">
        <v>-7.3275631145614204</v>
      </c>
      <c r="G9" s="3">
        <v>-6.731179944443702E-2</v>
      </c>
      <c r="H9" s="3">
        <v>-4.1967815169258973</v>
      </c>
      <c r="I9" s="3">
        <v>1.7288938303258607</v>
      </c>
      <c r="J9" s="3">
        <f t="shared" si="0"/>
        <v>-6.2143717836992938</v>
      </c>
      <c r="L9" t="s">
        <v>13</v>
      </c>
      <c r="M9">
        <v>0.85125237522846742</v>
      </c>
      <c r="N9"/>
      <c r="O9" t="s">
        <v>6</v>
      </c>
      <c r="P9" t="s">
        <v>99</v>
      </c>
      <c r="Q9"/>
      <c r="R9"/>
      <c r="S9"/>
      <c r="T9"/>
    </row>
    <row r="10" spans="1:20" x14ac:dyDescent="0.25">
      <c r="A10" s="1">
        <v>43617</v>
      </c>
      <c r="B10" s="3">
        <v>6.93</v>
      </c>
      <c r="C10" s="3">
        <v>0.28999999999999998</v>
      </c>
      <c r="D10" s="3">
        <v>-0.71</v>
      </c>
      <c r="E10" s="3">
        <v>8.5327158249038941</v>
      </c>
      <c r="F10" s="3">
        <v>6.7456858412428904</v>
      </c>
      <c r="G10" s="3">
        <v>3.4633802098141175</v>
      </c>
      <c r="H10" s="3">
        <v>4.9349990812117799</v>
      </c>
      <c r="I10" s="3">
        <v>3.8285664451460666</v>
      </c>
      <c r="J10" s="3">
        <f t="shared" si="0"/>
        <v>7.0595677495309754</v>
      </c>
      <c r="L10" t="s">
        <v>14</v>
      </c>
      <c r="M10">
        <v>0.72463060633210752</v>
      </c>
      <c r="Q10"/>
      <c r="R10"/>
      <c r="S10"/>
      <c r="T10"/>
    </row>
    <row r="11" spans="1:20" x14ac:dyDescent="0.25">
      <c r="A11" s="1">
        <v>43647</v>
      </c>
      <c r="B11" s="3">
        <v>1.19</v>
      </c>
      <c r="C11" s="3">
        <v>-1.93</v>
      </c>
      <c r="D11" s="3">
        <v>0.48</v>
      </c>
      <c r="E11" s="3">
        <v>1.5343813275990672</v>
      </c>
      <c r="F11" s="3">
        <v>-6.6949040640949518</v>
      </c>
      <c r="G11" s="3">
        <v>3.9750819066670009</v>
      </c>
      <c r="H11" s="3">
        <v>-3.4457542790531357</v>
      </c>
      <c r="I11" s="3">
        <v>0.93760291903801773</v>
      </c>
      <c r="J11" s="3">
        <f t="shared" si="0"/>
        <v>2.7393688828721653E-2</v>
      </c>
      <c r="L11" t="s">
        <v>15</v>
      </c>
      <c r="M11">
        <v>0.70987867452847042</v>
      </c>
      <c r="Q11"/>
      <c r="R11"/>
      <c r="S11"/>
      <c r="T11"/>
    </row>
    <row r="12" spans="1:20" x14ac:dyDescent="0.25">
      <c r="A12" s="1">
        <v>43678</v>
      </c>
      <c r="B12" s="3">
        <v>-2.58</v>
      </c>
      <c r="C12" s="3">
        <v>-2.38</v>
      </c>
      <c r="D12" s="3">
        <v>-4.78</v>
      </c>
      <c r="E12" s="3">
        <v>1.0067956621123078</v>
      </c>
      <c r="F12" s="3">
        <v>-1.5883266480453859</v>
      </c>
      <c r="G12" s="3">
        <v>4.4191205527753841</v>
      </c>
      <c r="H12" s="3">
        <v>6.1765314823500939</v>
      </c>
      <c r="I12" s="3">
        <v>5.5889016455386287</v>
      </c>
      <c r="J12" s="3">
        <f t="shared" si="0"/>
        <v>-0.95229373072831069</v>
      </c>
      <c r="L12" t="s">
        <v>16</v>
      </c>
      <c r="M12">
        <v>3.4143112428195317</v>
      </c>
      <c r="Q12"/>
      <c r="R12"/>
      <c r="S12"/>
      <c r="T12"/>
    </row>
    <row r="13" spans="1:20" ht="16.5" thickBot="1" x14ac:dyDescent="0.3">
      <c r="A13" s="1">
        <v>43709</v>
      </c>
      <c r="B13" s="3">
        <v>1.43</v>
      </c>
      <c r="C13" s="3">
        <v>-0.96</v>
      </c>
      <c r="D13" s="3">
        <v>6.75</v>
      </c>
      <c r="E13" s="3">
        <v>1.0045251572800475</v>
      </c>
      <c r="F13" s="3">
        <v>1.3699220610549758</v>
      </c>
      <c r="G13" s="3">
        <v>-1.2701075741609811</v>
      </c>
      <c r="H13" s="3">
        <v>3.6026633617630055</v>
      </c>
      <c r="I13" s="3">
        <v>6.7660516773729888</v>
      </c>
      <c r="J13" s="3">
        <f t="shared" si="0"/>
        <v>1.4113598039821593</v>
      </c>
      <c r="L13" s="5" t="s">
        <v>17</v>
      </c>
      <c r="M13" s="5">
        <v>60</v>
      </c>
      <c r="N13"/>
      <c r="O13"/>
      <c r="P13"/>
      <c r="Q13"/>
      <c r="R13"/>
      <c r="S13"/>
      <c r="T13"/>
    </row>
    <row r="14" spans="1:20" x14ac:dyDescent="0.25">
      <c r="A14" s="1">
        <v>43739</v>
      </c>
      <c r="B14" s="3">
        <v>2.06</v>
      </c>
      <c r="C14" s="3">
        <v>0.28999999999999998</v>
      </c>
      <c r="D14" s="3">
        <v>-1.91</v>
      </c>
      <c r="E14" s="3">
        <v>2.9616254621200699</v>
      </c>
      <c r="F14" s="3">
        <v>1.8959550577064157</v>
      </c>
      <c r="G14" s="3">
        <v>0.55261657918237905</v>
      </c>
      <c r="H14" s="3">
        <v>2.2232926760139687E-2</v>
      </c>
      <c r="I14" s="3">
        <v>2.1362221290665273</v>
      </c>
      <c r="J14" s="3">
        <f t="shared" si="0"/>
        <v>2.140450150982065</v>
      </c>
      <c r="L14"/>
      <c r="M14"/>
      <c r="N14"/>
      <c r="O14"/>
      <c r="P14"/>
      <c r="Q14"/>
      <c r="R14"/>
      <c r="S14"/>
      <c r="T14"/>
    </row>
    <row r="15" spans="1:20" ht="16.5" thickBot="1" x14ac:dyDescent="0.3">
      <c r="A15" s="1">
        <v>43770</v>
      </c>
      <c r="B15" s="3">
        <v>3.87</v>
      </c>
      <c r="C15" s="3">
        <v>0.77</v>
      </c>
      <c r="D15" s="3">
        <v>-2.02</v>
      </c>
      <c r="E15" s="3">
        <v>5.4669273154911746</v>
      </c>
      <c r="F15" s="3">
        <v>4.007547775895679</v>
      </c>
      <c r="G15" s="3">
        <v>-2.0123209313083223</v>
      </c>
      <c r="H15" s="3">
        <v>0.53622709467172414</v>
      </c>
      <c r="I15" s="3">
        <v>-2.0164547515012088</v>
      </c>
      <c r="J15" s="3">
        <f t="shared" si="0"/>
        <v>3.8820352082610285</v>
      </c>
      <c r="L15" t="s">
        <v>18</v>
      </c>
      <c r="M15"/>
      <c r="N15"/>
      <c r="O15"/>
      <c r="P15"/>
      <c r="Q15"/>
      <c r="R15"/>
      <c r="S15"/>
      <c r="T15"/>
    </row>
    <row r="16" spans="1:20" x14ac:dyDescent="0.25">
      <c r="A16" s="1">
        <v>43800</v>
      </c>
      <c r="B16" s="3">
        <v>2.77</v>
      </c>
      <c r="C16" s="3">
        <v>0.73</v>
      </c>
      <c r="D16" s="3">
        <v>1.75</v>
      </c>
      <c r="E16" s="3">
        <v>4.3894105936060317</v>
      </c>
      <c r="F16" s="3">
        <v>6.6899887487856651</v>
      </c>
      <c r="G16" s="3">
        <v>4.2859189277836567</v>
      </c>
      <c r="H16" s="3">
        <v>1.7856299239541751</v>
      </c>
      <c r="I16" s="3">
        <v>3.9808854733528531</v>
      </c>
      <c r="J16" s="3">
        <f t="shared" si="0"/>
        <v>3.7671988818347479</v>
      </c>
      <c r="L16" s="6"/>
      <c r="M16" s="6" t="s">
        <v>23</v>
      </c>
      <c r="N16" s="6" t="s">
        <v>24</v>
      </c>
      <c r="O16" s="6" t="s">
        <v>25</v>
      </c>
      <c r="P16" s="6" t="s">
        <v>26</v>
      </c>
      <c r="Q16" s="6" t="s">
        <v>27</v>
      </c>
      <c r="R16"/>
      <c r="S16"/>
      <c r="T16"/>
    </row>
    <row r="17" spans="1:20" x14ac:dyDescent="0.25">
      <c r="A17" s="1">
        <v>43831</v>
      </c>
      <c r="B17" s="3">
        <v>-0.11</v>
      </c>
      <c r="C17" s="3">
        <v>-3.11</v>
      </c>
      <c r="D17" s="3">
        <v>-6.25</v>
      </c>
      <c r="E17" s="3">
        <v>7.8154642363385287</v>
      </c>
      <c r="F17" s="3">
        <v>1.9266690085133789</v>
      </c>
      <c r="G17" s="3">
        <v>5.3803965231496411</v>
      </c>
      <c r="H17" s="3">
        <v>-3.3221938789027048</v>
      </c>
      <c r="I17" s="3">
        <v>10.623225958131838</v>
      </c>
      <c r="J17" s="3">
        <f t="shared" si="0"/>
        <v>2.3123117978541581</v>
      </c>
      <c r="L17" t="s">
        <v>19</v>
      </c>
      <c r="M17">
        <v>3</v>
      </c>
      <c r="N17">
        <v>1717.8895917091891</v>
      </c>
      <c r="O17">
        <v>572.62986390306298</v>
      </c>
      <c r="P17">
        <v>49.121065361314194</v>
      </c>
      <c r="Q17">
        <v>1.0772037423295309E-15</v>
      </c>
      <c r="R17"/>
      <c r="S17"/>
      <c r="T17"/>
    </row>
    <row r="18" spans="1:20" x14ac:dyDescent="0.25">
      <c r="A18" s="1">
        <v>43862</v>
      </c>
      <c r="B18" s="3">
        <v>-8.1300000000000008</v>
      </c>
      <c r="C18" s="3">
        <v>1.07</v>
      </c>
      <c r="D18" s="3">
        <v>-3.81</v>
      </c>
      <c r="E18" s="3">
        <v>-4.9487491800355849</v>
      </c>
      <c r="F18" s="3">
        <v>-9.7861501429484914</v>
      </c>
      <c r="G18" s="3">
        <v>-8.5275378411014646</v>
      </c>
      <c r="H18" s="3">
        <v>-8.0546409214946841</v>
      </c>
      <c r="I18" s="3">
        <v>-5.876901512451707</v>
      </c>
      <c r="J18" s="3">
        <f t="shared" si="0"/>
        <v>-7.5928172766391802</v>
      </c>
      <c r="L18" t="s">
        <v>20</v>
      </c>
      <c r="M18">
        <v>56</v>
      </c>
      <c r="N18">
        <v>652.82119071925581</v>
      </c>
      <c r="O18">
        <v>11.657521262843854</v>
      </c>
      <c r="P18"/>
      <c r="Q18"/>
      <c r="R18"/>
      <c r="S18"/>
      <c r="T18"/>
    </row>
    <row r="19" spans="1:20" ht="16.5" thickBot="1" x14ac:dyDescent="0.3">
      <c r="A19" s="1">
        <v>43891</v>
      </c>
      <c r="B19" s="3">
        <v>-13.39</v>
      </c>
      <c r="C19" s="3">
        <v>-4.83</v>
      </c>
      <c r="D19" s="3">
        <v>-13.87</v>
      </c>
      <c r="E19" s="3">
        <v>-2.5182726515227492</v>
      </c>
      <c r="F19" s="3">
        <v>-1.9993034182312717</v>
      </c>
      <c r="G19" s="3">
        <v>-17.404262307171937</v>
      </c>
      <c r="H19" s="3">
        <v>-0.9239344930705583</v>
      </c>
      <c r="I19" s="3">
        <v>-4.4358060917887663</v>
      </c>
      <c r="J19" s="3">
        <f t="shared" si="0"/>
        <v>-8.6840065319738109</v>
      </c>
      <c r="L19" s="5" t="s">
        <v>21</v>
      </c>
      <c r="M19" s="5">
        <v>59</v>
      </c>
      <c r="N19" s="5">
        <v>2370.7107824284449</v>
      </c>
      <c r="O19" s="5"/>
      <c r="P19" s="5"/>
      <c r="Q19" s="5"/>
      <c r="R19"/>
      <c r="S19"/>
      <c r="T19"/>
    </row>
    <row r="20" spans="1:20" ht="16.5" thickBot="1" x14ac:dyDescent="0.3">
      <c r="A20" s="1">
        <v>43922</v>
      </c>
      <c r="B20" s="3">
        <v>13.65</v>
      </c>
      <c r="C20" s="3">
        <v>2.4500000000000002</v>
      </c>
      <c r="D20" s="3">
        <v>-1.33</v>
      </c>
      <c r="E20" s="3">
        <v>13.632611516409575</v>
      </c>
      <c r="F20" s="3">
        <v>14.420802232830709</v>
      </c>
      <c r="G20" s="3">
        <v>4.6157096262234409</v>
      </c>
      <c r="H20" s="3">
        <v>6.9234807099553208</v>
      </c>
      <c r="I20" s="3">
        <v>-3.9481408607542789</v>
      </c>
      <c r="J20" s="3">
        <f t="shared" si="0"/>
        <v>12.959781712396932</v>
      </c>
      <c r="L20"/>
      <c r="M20"/>
      <c r="N20"/>
      <c r="O20"/>
      <c r="P20"/>
      <c r="Q20"/>
      <c r="R20"/>
      <c r="S20"/>
      <c r="T20"/>
    </row>
    <row r="21" spans="1:20" x14ac:dyDescent="0.25">
      <c r="A21" s="1">
        <v>43952</v>
      </c>
      <c r="B21" s="3">
        <v>5.58</v>
      </c>
      <c r="C21" s="3">
        <v>2.4700000000000002</v>
      </c>
      <c r="D21" s="3">
        <v>-4.88</v>
      </c>
      <c r="E21" s="3">
        <v>2.2443412904228124</v>
      </c>
      <c r="F21" s="3">
        <v>-0.86977105768445528</v>
      </c>
      <c r="G21" s="3">
        <v>1.7115108838460003</v>
      </c>
      <c r="H21" s="3">
        <v>0.94232009411931883</v>
      </c>
      <c r="I21" s="3">
        <v>10.564591191729654</v>
      </c>
      <c r="J21" s="3">
        <f t="shared" si="0"/>
        <v>3.6668989398806002</v>
      </c>
      <c r="L21" s="6"/>
      <c r="M21" s="6" t="s">
        <v>28</v>
      </c>
      <c r="N21" s="6" t="s">
        <v>16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33</v>
      </c>
      <c r="T21" s="6" t="s">
        <v>34</v>
      </c>
    </row>
    <row r="22" spans="1:20" x14ac:dyDescent="0.25">
      <c r="A22" s="1">
        <v>43983</v>
      </c>
      <c r="B22" s="3">
        <v>2.46</v>
      </c>
      <c r="C22" s="3">
        <v>2.69</v>
      </c>
      <c r="D22" s="3">
        <v>-2.2000000000000002</v>
      </c>
      <c r="E22" s="3">
        <v>11.355233991562685</v>
      </c>
      <c r="F22" s="3">
        <v>-4.8134472753309634</v>
      </c>
      <c r="G22" s="3">
        <v>-4.2944780955861521</v>
      </c>
      <c r="H22" s="3">
        <v>-3.9312451649250466</v>
      </c>
      <c r="I22" s="3">
        <v>-6.0320685671474532</v>
      </c>
      <c r="J22" s="3">
        <f t="shared" si="0"/>
        <v>2.922791571934976</v>
      </c>
      <c r="L22" t="s">
        <v>22</v>
      </c>
      <c r="M22">
        <v>1.1721331223642404</v>
      </c>
      <c r="N22">
        <v>0.45274663905385126</v>
      </c>
      <c r="O22">
        <v>2.5889383183799244</v>
      </c>
      <c r="P22">
        <v>1.2244405285371417E-2</v>
      </c>
      <c r="Q22">
        <v>0.26517261969004502</v>
      </c>
      <c r="R22">
        <v>2.0790936250384355</v>
      </c>
      <c r="S22">
        <v>0.26517261969004502</v>
      </c>
      <c r="T22">
        <v>2.0790936250384355</v>
      </c>
    </row>
    <row r="23" spans="1:20" x14ac:dyDescent="0.25">
      <c r="A23" s="1">
        <v>44013</v>
      </c>
      <c r="B23" s="3">
        <v>5.77</v>
      </c>
      <c r="C23" s="3">
        <v>-2.33</v>
      </c>
      <c r="D23" s="3">
        <v>-1.41</v>
      </c>
      <c r="E23" s="3">
        <v>0.72704931125599948</v>
      </c>
      <c r="F23" s="3">
        <v>3.6378662475339043</v>
      </c>
      <c r="G23" s="3">
        <v>6.6801742505675046</v>
      </c>
      <c r="H23" s="3">
        <v>4.2526522924408496</v>
      </c>
      <c r="I23" s="3">
        <v>17.509344938130784</v>
      </c>
      <c r="J23" s="3">
        <f t="shared" si="0"/>
        <v>4.4567588082144498</v>
      </c>
      <c r="L23" t="s">
        <v>4</v>
      </c>
      <c r="M23" s="38">
        <v>0.94884934130547527</v>
      </c>
      <c r="N23">
        <v>8.4899299460528696E-2</v>
      </c>
      <c r="O23">
        <v>11.17617397710818</v>
      </c>
      <c r="P23">
        <v>6.9753863759100244E-16</v>
      </c>
      <c r="Q23">
        <v>0.77877560762448494</v>
      </c>
      <c r="R23">
        <v>1.1189230749864656</v>
      </c>
      <c r="S23">
        <v>0.77877560762448494</v>
      </c>
      <c r="T23">
        <v>1.1189230749864656</v>
      </c>
    </row>
    <row r="24" spans="1:20" x14ac:dyDescent="0.25">
      <c r="A24" s="1">
        <v>44044</v>
      </c>
      <c r="B24" s="3">
        <v>7.63</v>
      </c>
      <c r="C24" s="3">
        <v>-0.22</v>
      </c>
      <c r="D24" s="3">
        <v>-2.97</v>
      </c>
      <c r="E24" s="3">
        <v>9.9992808640853905</v>
      </c>
      <c r="F24" s="3">
        <v>5.2383575503310178</v>
      </c>
      <c r="G24" s="3">
        <v>4.8375775293979286</v>
      </c>
      <c r="H24" s="3">
        <v>4.262089208044161</v>
      </c>
      <c r="I24" s="3">
        <v>-0.5550639236787458</v>
      </c>
      <c r="J24" s="3">
        <f t="shared" si="0"/>
        <v>7.4947261304656134</v>
      </c>
      <c r="L24" t="s">
        <v>5</v>
      </c>
      <c r="M24" s="38">
        <v>-0.60109753591765291</v>
      </c>
      <c r="N24">
        <v>0.16180407587686577</v>
      </c>
      <c r="O24">
        <v>-3.7149715336904929</v>
      </c>
      <c r="P24">
        <v>4.7052632732798235E-4</v>
      </c>
      <c r="Q24">
        <v>-0.92523004918974128</v>
      </c>
      <c r="R24">
        <v>-0.27696502264556461</v>
      </c>
      <c r="S24">
        <v>-0.92523004918974128</v>
      </c>
      <c r="T24">
        <v>-0.27696502264556461</v>
      </c>
    </row>
    <row r="25" spans="1:20" ht="16.5" thickBot="1" x14ac:dyDescent="0.3">
      <c r="A25" s="1">
        <v>44075</v>
      </c>
      <c r="B25" s="3">
        <v>-3.63</v>
      </c>
      <c r="C25" s="3">
        <v>0.02</v>
      </c>
      <c r="D25" s="3">
        <v>-2.71</v>
      </c>
      <c r="E25" s="3">
        <v>-6.524237517860854</v>
      </c>
      <c r="F25" s="3">
        <v>-2.3169577695980279</v>
      </c>
      <c r="G25" s="3">
        <v>-0.33300988957140176</v>
      </c>
      <c r="H25" s="3">
        <v>0.36119133639942347</v>
      </c>
      <c r="I25" s="3">
        <v>-8.530278123577538E-2</v>
      </c>
      <c r="J25" s="3">
        <f t="shared" si="0"/>
        <v>-3.8289656198941908</v>
      </c>
      <c r="L25" s="5" t="s">
        <v>6</v>
      </c>
      <c r="M25" s="39">
        <v>-0.49054309901291598</v>
      </c>
      <c r="N25" s="5">
        <v>9.4634979470588451E-2</v>
      </c>
      <c r="O25" s="5">
        <v>-5.1835283502689569</v>
      </c>
      <c r="P25" s="5">
        <v>3.0926242114887106E-6</v>
      </c>
      <c r="Q25" s="5">
        <v>-0.68011974331573122</v>
      </c>
      <c r="R25" s="5">
        <v>-0.30096645471010069</v>
      </c>
      <c r="S25" s="5">
        <v>-0.68011974331573122</v>
      </c>
      <c r="T25" s="5">
        <v>-0.30096645471010069</v>
      </c>
    </row>
    <row r="26" spans="1:20" x14ac:dyDescent="0.25">
      <c r="A26" s="1">
        <v>44105</v>
      </c>
      <c r="B26" s="3">
        <v>-2.1</v>
      </c>
      <c r="C26" s="3">
        <v>4.38</v>
      </c>
      <c r="D26" s="3">
        <v>4.25</v>
      </c>
      <c r="E26" s="3">
        <v>-3.74698123296734</v>
      </c>
      <c r="F26" s="3">
        <v>-7.9156956115503672</v>
      </c>
      <c r="G26" s="3">
        <v>-1.875455583825415</v>
      </c>
      <c r="H26" s="3">
        <v>-4.2123738918997242</v>
      </c>
      <c r="I26" s="3">
        <v>5.4951134219273658</v>
      </c>
      <c r="J26" s="3">
        <f t="shared" si="0"/>
        <v>-3.2734222950085194</v>
      </c>
      <c r="L26"/>
      <c r="M26"/>
      <c r="N26"/>
      <c r="O26"/>
      <c r="P26"/>
      <c r="Q26"/>
      <c r="R26"/>
      <c r="S26"/>
      <c r="T26"/>
    </row>
    <row r="27" spans="1:20" x14ac:dyDescent="0.25">
      <c r="A27" s="1">
        <v>44136</v>
      </c>
      <c r="B27" s="3">
        <v>12.47</v>
      </c>
      <c r="C27" s="3">
        <v>5.8</v>
      </c>
      <c r="D27" s="3">
        <v>2.09</v>
      </c>
      <c r="E27" s="3">
        <v>5.7192437767227258</v>
      </c>
      <c r="F27" s="3">
        <v>5.5111064354980801</v>
      </c>
      <c r="G27" s="3">
        <v>7.3557957658308739</v>
      </c>
      <c r="H27" s="3">
        <v>7.1196444348565304</v>
      </c>
      <c r="I27" s="3">
        <v>0.50904819127503997</v>
      </c>
      <c r="J27" s="3">
        <f t="shared" si="0"/>
        <v>9.3059907652334228</v>
      </c>
      <c r="L27"/>
      <c r="M27"/>
      <c r="N27"/>
      <c r="O27"/>
      <c r="P27"/>
      <c r="Q27"/>
      <c r="R27"/>
      <c r="S27"/>
      <c r="T27"/>
    </row>
    <row r="28" spans="1:20" x14ac:dyDescent="0.25">
      <c r="A28" s="1">
        <v>44166</v>
      </c>
      <c r="B28" s="3">
        <v>4.63</v>
      </c>
      <c r="C28" s="3">
        <v>4.8899999999999997</v>
      </c>
      <c r="D28" s="3">
        <v>-1.51</v>
      </c>
      <c r="E28" s="3">
        <v>4.1625985860953776</v>
      </c>
      <c r="F28" s="3">
        <v>9.5238687144998391</v>
      </c>
      <c r="G28" s="3">
        <v>7.102400759927451</v>
      </c>
      <c r="H28" s="3">
        <v>-2.7578834842864395</v>
      </c>
      <c r="I28" s="3">
        <v>5.3192741856088679</v>
      </c>
      <c r="J28" s="3">
        <f t="shared" si="0"/>
        <v>5.0899920466074766</v>
      </c>
      <c r="L28" t="s">
        <v>11</v>
      </c>
      <c r="M28"/>
      <c r="N28" s="8" t="s">
        <v>2</v>
      </c>
      <c r="O28"/>
      <c r="P28"/>
      <c r="Q28"/>
      <c r="R28"/>
      <c r="S28"/>
      <c r="T28"/>
    </row>
    <row r="29" spans="1:20" ht="16.5" thickBot="1" x14ac:dyDescent="0.3">
      <c r="A29" s="1">
        <v>44197</v>
      </c>
      <c r="B29" s="3">
        <v>-0.03</v>
      </c>
      <c r="C29" s="3">
        <v>7.36</v>
      </c>
      <c r="D29" s="3">
        <v>3.01</v>
      </c>
      <c r="E29" s="3">
        <v>4.2791974725299822</v>
      </c>
      <c r="F29" s="3">
        <v>3.6435688048397799</v>
      </c>
      <c r="G29" s="3">
        <v>-12.209138401580967</v>
      </c>
      <c r="H29" s="3">
        <v>-6.8185116756147259</v>
      </c>
      <c r="I29" s="3">
        <v>4.8118050991924335</v>
      </c>
      <c r="J29" s="3">
        <f t="shared" si="0"/>
        <v>1.0501611511479909</v>
      </c>
      <c r="L29"/>
      <c r="M29"/>
      <c r="N29"/>
      <c r="O29" t="s">
        <v>51</v>
      </c>
      <c r="P29" t="s">
        <v>98</v>
      </c>
      <c r="Q29"/>
      <c r="R29"/>
      <c r="S29"/>
      <c r="T29"/>
    </row>
    <row r="30" spans="1:20" x14ac:dyDescent="0.25">
      <c r="A30" s="1">
        <v>44228</v>
      </c>
      <c r="B30" s="3">
        <v>2.78</v>
      </c>
      <c r="C30" s="3">
        <v>2.0499999999999998</v>
      </c>
      <c r="D30" s="3">
        <v>7.15</v>
      </c>
      <c r="E30" s="3">
        <v>0.18106724189419499</v>
      </c>
      <c r="F30" s="3">
        <v>-2.8627215997686695</v>
      </c>
      <c r="G30" s="3">
        <v>1.744568512160094</v>
      </c>
      <c r="H30" s="3">
        <v>2.0858493377795329</v>
      </c>
      <c r="I30" s="3">
        <v>-9.1381201092568638</v>
      </c>
      <c r="J30" s="3">
        <f t="shared" si="0"/>
        <v>1.0592836645507944</v>
      </c>
      <c r="L30" s="7" t="s">
        <v>12</v>
      </c>
      <c r="M30" s="7"/>
      <c r="N30"/>
      <c r="O30" t="s">
        <v>5</v>
      </c>
      <c r="P30" t="s">
        <v>100</v>
      </c>
      <c r="Q30"/>
      <c r="R30"/>
      <c r="S30"/>
      <c r="T30"/>
    </row>
    <row r="31" spans="1:20" x14ac:dyDescent="0.25">
      <c r="A31" s="1">
        <v>44256</v>
      </c>
      <c r="B31" s="3">
        <v>3.08</v>
      </c>
      <c r="C31" s="3">
        <v>-2.37</v>
      </c>
      <c r="D31" s="3">
        <v>7.39</v>
      </c>
      <c r="E31" s="3">
        <v>1.6924956234312782</v>
      </c>
      <c r="F31" s="3">
        <v>4.3637818827191532</v>
      </c>
      <c r="G31" s="3">
        <v>7.5933827639444784</v>
      </c>
      <c r="H31" s="3">
        <v>5.1537272044209104</v>
      </c>
      <c r="I31" s="3">
        <v>3.43866009996876</v>
      </c>
      <c r="J31" s="3">
        <f t="shared" si="0"/>
        <v>3.1465400170204911</v>
      </c>
      <c r="L31" t="s">
        <v>13</v>
      </c>
      <c r="M31">
        <v>0.5737053913387804</v>
      </c>
      <c r="N31"/>
      <c r="O31" t="s">
        <v>6</v>
      </c>
      <c r="P31" t="s">
        <v>102</v>
      </c>
      <c r="Q31"/>
      <c r="R31"/>
      <c r="S31"/>
      <c r="T31"/>
    </row>
    <row r="32" spans="1:20" x14ac:dyDescent="0.25">
      <c r="A32" s="1">
        <v>44287</v>
      </c>
      <c r="B32" s="3">
        <v>4.93</v>
      </c>
      <c r="C32" s="3">
        <v>-3.19</v>
      </c>
      <c r="D32" s="3">
        <v>-0.95</v>
      </c>
      <c r="E32" s="3">
        <v>6.9601560650469629</v>
      </c>
      <c r="F32" s="3">
        <v>-0.98572601132438376</v>
      </c>
      <c r="G32" s="3">
        <v>3.2617987536191162</v>
      </c>
      <c r="H32" s="3">
        <v>-0.61909685837903128</v>
      </c>
      <c r="I32" s="3">
        <v>2.5128792893963192</v>
      </c>
      <c r="J32" s="3">
        <f t="shared" si="0"/>
        <v>4.259722263347637</v>
      </c>
      <c r="L32" t="s">
        <v>14</v>
      </c>
      <c r="M32">
        <v>0.32913787605118316</v>
      </c>
      <c r="N32"/>
      <c r="O32"/>
      <c r="P32"/>
      <c r="Q32"/>
      <c r="R32"/>
      <c r="S32"/>
      <c r="T32"/>
    </row>
    <row r="33" spans="1:20" x14ac:dyDescent="0.25">
      <c r="A33" s="1">
        <v>44317</v>
      </c>
      <c r="B33" s="3">
        <v>0.28999999999999998</v>
      </c>
      <c r="C33" s="3">
        <v>-0.25</v>
      </c>
      <c r="D33" s="3">
        <v>7.09</v>
      </c>
      <c r="E33" s="3">
        <v>-0.9913473053598576</v>
      </c>
      <c r="F33" s="3">
        <v>4.0066374223079348</v>
      </c>
      <c r="G33" s="3">
        <v>2.4268276560624802</v>
      </c>
      <c r="H33" s="3">
        <v>-1.1978573009086779</v>
      </c>
      <c r="I33" s="3">
        <v>-5.5347635353517948</v>
      </c>
      <c r="J33" s="3">
        <f t="shared" si="0"/>
        <v>0.44524442072901832</v>
      </c>
      <c r="L33" t="s">
        <v>15</v>
      </c>
      <c r="M33">
        <v>0.29319883369678224</v>
      </c>
      <c r="N33"/>
      <c r="O33"/>
      <c r="P33"/>
      <c r="Q33"/>
      <c r="R33"/>
      <c r="S33"/>
      <c r="T33"/>
    </row>
    <row r="34" spans="1:20" x14ac:dyDescent="0.25">
      <c r="A34" s="1">
        <v>44348</v>
      </c>
      <c r="B34" s="3">
        <v>2.75</v>
      </c>
      <c r="C34" s="3">
        <v>1.68</v>
      </c>
      <c r="D34" s="3">
        <v>-7.87</v>
      </c>
      <c r="E34" s="3">
        <v>8.7494296023813867</v>
      </c>
      <c r="F34" s="3">
        <v>-2.0574274076083698</v>
      </c>
      <c r="G34" s="3">
        <v>-2.1342081818530367</v>
      </c>
      <c r="H34" s="3">
        <v>-0.81432047877738611</v>
      </c>
      <c r="I34" s="3">
        <v>8.1959429377742588E-2</v>
      </c>
      <c r="J34" s="3">
        <f t="shared" si="0"/>
        <v>3.147545725534989</v>
      </c>
      <c r="L34" t="s">
        <v>16</v>
      </c>
      <c r="M34">
        <v>4.2763979305954898</v>
      </c>
      <c r="N34"/>
      <c r="O34"/>
      <c r="P34"/>
      <c r="Q34"/>
      <c r="R34"/>
      <c r="S34"/>
      <c r="T34"/>
    </row>
    <row r="35" spans="1:20" ht="16.5" thickBot="1" x14ac:dyDescent="0.3">
      <c r="A35" s="1">
        <v>44378</v>
      </c>
      <c r="B35" s="3">
        <v>1.27</v>
      </c>
      <c r="C35" s="3">
        <v>-3.97</v>
      </c>
      <c r="D35" s="3">
        <v>-1.78</v>
      </c>
      <c r="E35" s="3">
        <v>5.1716442972440602</v>
      </c>
      <c r="F35" s="3">
        <v>4.5283577218267146</v>
      </c>
      <c r="G35" s="3">
        <v>6.1905820564555514</v>
      </c>
      <c r="H35" s="3">
        <v>-0.44618552908627374</v>
      </c>
      <c r="I35" s="3">
        <v>6.8664863111157715</v>
      </c>
      <c r="J35" s="3">
        <f t="shared" si="0"/>
        <v>2.8620990644347559</v>
      </c>
      <c r="L35" s="5" t="s">
        <v>17</v>
      </c>
      <c r="M35" s="5">
        <v>60</v>
      </c>
      <c r="N35"/>
      <c r="O35"/>
      <c r="P35"/>
      <c r="Q35"/>
      <c r="R35"/>
      <c r="S35"/>
      <c r="T35"/>
    </row>
    <row r="36" spans="1:20" x14ac:dyDescent="0.25">
      <c r="A36" s="1">
        <v>44409</v>
      </c>
      <c r="B36" s="3">
        <v>2.91</v>
      </c>
      <c r="C36" s="3">
        <v>-0.42</v>
      </c>
      <c r="D36" s="3">
        <v>-0.15</v>
      </c>
      <c r="E36" s="3">
        <v>5.9562660662745515</v>
      </c>
      <c r="F36" s="3">
        <v>0.54007210053632626</v>
      </c>
      <c r="G36" s="3">
        <v>-1.2624993240749505</v>
      </c>
      <c r="H36" s="3">
        <v>-0.29066539305857564</v>
      </c>
      <c r="I36" s="3">
        <v>7.8177114084313049</v>
      </c>
      <c r="J36" s="3">
        <f t="shared" si="0"/>
        <v>3.1436372388890939</v>
      </c>
      <c r="L36"/>
      <c r="M36"/>
      <c r="N36"/>
      <c r="O36"/>
      <c r="P36"/>
      <c r="Q36"/>
      <c r="R36"/>
      <c r="S36"/>
      <c r="T36"/>
    </row>
    <row r="37" spans="1:20" ht="16.5" thickBot="1" x14ac:dyDescent="0.3">
      <c r="A37" s="1">
        <v>44440</v>
      </c>
      <c r="B37" s="3">
        <v>-4.37</v>
      </c>
      <c r="C37" s="3">
        <v>0.71</v>
      </c>
      <c r="D37" s="3">
        <v>5.08</v>
      </c>
      <c r="E37" s="3">
        <v>-6.4331229098612885</v>
      </c>
      <c r="F37" s="3">
        <v>-6.1631796427999426</v>
      </c>
      <c r="G37" s="3">
        <v>-6.8193792358380856</v>
      </c>
      <c r="H37" s="3">
        <v>-1.799992073934642</v>
      </c>
      <c r="I37" s="3">
        <v>-6.0849448275435369</v>
      </c>
      <c r="J37" s="3">
        <f t="shared" si="0"/>
        <v>-5.1412462683183104</v>
      </c>
      <c r="L37" t="s">
        <v>18</v>
      </c>
      <c r="M37"/>
      <c r="N37"/>
      <c r="O37"/>
      <c r="P37"/>
      <c r="Q37"/>
      <c r="R37"/>
      <c r="S37"/>
      <c r="T37"/>
    </row>
    <row r="38" spans="1:20" x14ac:dyDescent="0.25">
      <c r="A38" s="1">
        <v>44470</v>
      </c>
      <c r="B38" s="3">
        <v>6.65</v>
      </c>
      <c r="C38" s="3">
        <v>-2.35</v>
      </c>
      <c r="D38" s="3">
        <v>-0.49</v>
      </c>
      <c r="E38" s="3">
        <v>17.629107666509647</v>
      </c>
      <c r="F38" s="3">
        <v>0.85448828837728641</v>
      </c>
      <c r="G38" s="3">
        <v>8.243626732535958</v>
      </c>
      <c r="H38" s="3">
        <v>-1.8885252659646468</v>
      </c>
      <c r="I38" s="3">
        <v>8.6729755765268646</v>
      </c>
      <c r="J38" s="3">
        <f t="shared" si="0"/>
        <v>8.1869390002435161</v>
      </c>
      <c r="L38" s="6"/>
      <c r="M38" s="6" t="s">
        <v>23</v>
      </c>
      <c r="N38" s="6" t="s">
        <v>24</v>
      </c>
      <c r="O38" s="6" t="s">
        <v>25</v>
      </c>
      <c r="P38" s="6" t="s">
        <v>26</v>
      </c>
      <c r="Q38" s="6" t="s">
        <v>27</v>
      </c>
      <c r="R38"/>
      <c r="S38"/>
      <c r="T38"/>
    </row>
    <row r="39" spans="1:20" x14ac:dyDescent="0.25">
      <c r="A39" s="1">
        <v>44501</v>
      </c>
      <c r="B39" s="3">
        <v>-1.55</v>
      </c>
      <c r="C39" s="3">
        <v>-1.32</v>
      </c>
      <c r="D39" s="3">
        <v>-0.45</v>
      </c>
      <c r="E39" s="3">
        <v>-0.31059400280513128</v>
      </c>
      <c r="F39" s="3">
        <v>-4.2669463605638169</v>
      </c>
      <c r="G39" s="3">
        <v>-6.954058067863345</v>
      </c>
      <c r="H39" s="3">
        <v>-4.0064178031159914</v>
      </c>
      <c r="I39" s="3">
        <v>1.6992680096417745</v>
      </c>
      <c r="J39" s="3">
        <f t="shared" si="0"/>
        <v>-1.8357753243390305</v>
      </c>
      <c r="L39" t="s">
        <v>19</v>
      </c>
      <c r="M39">
        <v>3</v>
      </c>
      <c r="N39">
        <v>502.44535761377324</v>
      </c>
      <c r="O39">
        <v>167.48178587125776</v>
      </c>
      <c r="P39">
        <v>9.1582261097972388</v>
      </c>
      <c r="Q39">
        <v>5.0204714839515627E-5</v>
      </c>
      <c r="R39"/>
      <c r="S39"/>
      <c r="T39"/>
    </row>
    <row r="40" spans="1:20" x14ac:dyDescent="0.25">
      <c r="A40" s="1">
        <v>44531</v>
      </c>
      <c r="B40" s="3">
        <v>3.1</v>
      </c>
      <c r="C40" s="3">
        <v>-1.67</v>
      </c>
      <c r="D40" s="3">
        <v>3.26</v>
      </c>
      <c r="E40" s="3">
        <v>1.9093857027867134</v>
      </c>
      <c r="F40" s="3">
        <v>10.418083975126956</v>
      </c>
      <c r="G40" s="3">
        <v>13.753894683175448</v>
      </c>
      <c r="H40" s="3">
        <v>3.3518473890799418</v>
      </c>
      <c r="I40" s="3">
        <v>8.0488812570964843</v>
      </c>
      <c r="J40" s="3">
        <f t="shared" si="0"/>
        <v>4.3095585281819826</v>
      </c>
      <c r="L40" t="s">
        <v>20</v>
      </c>
      <c r="M40">
        <v>56</v>
      </c>
      <c r="N40">
        <v>1024.1044386048777</v>
      </c>
      <c r="O40">
        <v>18.287579260801387</v>
      </c>
      <c r="P40"/>
      <c r="Q40"/>
      <c r="R40"/>
      <c r="S40"/>
      <c r="T40"/>
    </row>
    <row r="41" spans="1:20" ht="16.5" thickBot="1" x14ac:dyDescent="0.3">
      <c r="A41" s="1">
        <v>44562</v>
      </c>
      <c r="B41" s="3">
        <v>-6.25</v>
      </c>
      <c r="C41" s="3">
        <v>-5.94</v>
      </c>
      <c r="D41" s="3">
        <v>12.75</v>
      </c>
      <c r="E41" s="3">
        <v>-7.5344936669406888</v>
      </c>
      <c r="F41" s="3">
        <v>0.71316032398260898</v>
      </c>
      <c r="G41" s="3">
        <v>3.0400269302415683</v>
      </c>
      <c r="H41" s="3">
        <v>2.4441966452002362</v>
      </c>
      <c r="I41" s="3">
        <v>-16.323901081798919</v>
      </c>
      <c r="J41" s="3">
        <f t="shared" si="0"/>
        <v>-5.1568042549514104</v>
      </c>
      <c r="L41" s="5" t="s">
        <v>21</v>
      </c>
      <c r="M41" s="5">
        <v>59</v>
      </c>
      <c r="N41" s="5">
        <v>1526.549796218651</v>
      </c>
      <c r="O41" s="5"/>
      <c r="P41" s="5"/>
      <c r="Q41" s="5"/>
      <c r="R41"/>
      <c r="S41"/>
      <c r="T41"/>
    </row>
    <row r="42" spans="1:20" ht="16.5" thickBot="1" x14ac:dyDescent="0.3">
      <c r="A42" s="1">
        <v>44593</v>
      </c>
      <c r="B42" s="3">
        <v>-2.29</v>
      </c>
      <c r="C42" s="3">
        <v>2.19</v>
      </c>
      <c r="D42" s="3">
        <v>3.08</v>
      </c>
      <c r="E42" s="3">
        <v>-3.9198594309561963</v>
      </c>
      <c r="F42" s="3">
        <v>-4.4808096226401473</v>
      </c>
      <c r="G42" s="3">
        <v>2.0160594301708468</v>
      </c>
      <c r="H42" s="3">
        <v>2.0413815889777309</v>
      </c>
      <c r="I42" s="3">
        <v>0.19199379954650819</v>
      </c>
      <c r="J42" s="3">
        <f t="shared" si="0"/>
        <v>-2.6897634744104275</v>
      </c>
      <c r="L42"/>
      <c r="M42"/>
      <c r="N42"/>
      <c r="O42"/>
      <c r="P42"/>
      <c r="Q42"/>
      <c r="R42"/>
      <c r="S42"/>
      <c r="T42"/>
    </row>
    <row r="43" spans="1:20" x14ac:dyDescent="0.25">
      <c r="A43" s="1">
        <v>44621</v>
      </c>
      <c r="B43" s="3">
        <v>3.05</v>
      </c>
      <c r="C43" s="3">
        <v>-1.61</v>
      </c>
      <c r="D43" s="3">
        <v>-1.81</v>
      </c>
      <c r="E43" s="3">
        <v>3.389548424085608</v>
      </c>
      <c r="F43" s="3">
        <v>8.3740417579157391</v>
      </c>
      <c r="G43" s="3">
        <v>-0.39559884018649627</v>
      </c>
      <c r="H43" s="3">
        <v>-5.0966514376777585</v>
      </c>
      <c r="I43" s="3">
        <v>8.8173791334171572</v>
      </c>
      <c r="J43" s="3">
        <f t="shared" si="0"/>
        <v>3.6626170828086329</v>
      </c>
      <c r="L43" s="6"/>
      <c r="M43" s="6" t="s">
        <v>28</v>
      </c>
      <c r="N43" s="6" t="s">
        <v>16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33</v>
      </c>
      <c r="T43" s="6" t="s">
        <v>34</v>
      </c>
    </row>
    <row r="44" spans="1:20" x14ac:dyDescent="0.25">
      <c r="A44" s="1">
        <v>44652</v>
      </c>
      <c r="B44" s="3">
        <v>-9.4600000000000009</v>
      </c>
      <c r="C44" s="3">
        <v>-1.39</v>
      </c>
      <c r="D44" s="3">
        <v>6.17</v>
      </c>
      <c r="E44" s="3">
        <v>-9.9967249998890519</v>
      </c>
      <c r="F44" s="3">
        <v>1.8125168859862917</v>
      </c>
      <c r="G44" s="3">
        <v>4.9973830006140965</v>
      </c>
      <c r="H44" s="3">
        <v>-9.1187646005156733</v>
      </c>
      <c r="I44" s="3">
        <v>-16.171027363352135</v>
      </c>
      <c r="J44" s="3">
        <f t="shared" si="0"/>
        <v>-7.6115505095605354</v>
      </c>
      <c r="L44" t="s">
        <v>22</v>
      </c>
      <c r="M44">
        <v>-0.12381982092631207</v>
      </c>
      <c r="N44">
        <v>0.56706159826691871</v>
      </c>
      <c r="O44">
        <v>-0.2183533875415585</v>
      </c>
      <c r="P44">
        <v>0.82794756239344314</v>
      </c>
      <c r="Q44">
        <v>-1.2597807046695579</v>
      </c>
      <c r="R44">
        <v>1.0121410628169338</v>
      </c>
      <c r="S44">
        <v>-1.2597807046695579</v>
      </c>
      <c r="T44">
        <v>1.0121410628169338</v>
      </c>
    </row>
    <row r="45" spans="1:20" x14ac:dyDescent="0.25">
      <c r="A45" s="1">
        <v>44682</v>
      </c>
      <c r="B45" s="3">
        <v>-0.34</v>
      </c>
      <c r="C45" s="3">
        <v>-1.83</v>
      </c>
      <c r="D45" s="3">
        <v>8.39</v>
      </c>
      <c r="E45" s="3">
        <v>-2.0658774811409573</v>
      </c>
      <c r="F45" s="3">
        <v>-0.54535893029411864</v>
      </c>
      <c r="G45" s="3">
        <v>-1.9337303180896359</v>
      </c>
      <c r="H45" s="3">
        <v>12.096437289956283</v>
      </c>
      <c r="I45" s="3">
        <v>6.5456271883678827</v>
      </c>
      <c r="J45" s="3">
        <f t="shared" si="0"/>
        <v>-0.29442131848910902</v>
      </c>
      <c r="L45" t="s">
        <v>4</v>
      </c>
      <c r="M45" s="38">
        <v>0.53989970395661191</v>
      </c>
      <c r="N45">
        <v>0.10633570366074618</v>
      </c>
      <c r="O45">
        <v>5.0773135021432676</v>
      </c>
      <c r="P45">
        <v>4.538001218679237E-6</v>
      </c>
      <c r="Q45">
        <v>0.32688369251606436</v>
      </c>
      <c r="R45">
        <v>0.75291571539715951</v>
      </c>
      <c r="S45">
        <v>0.32688369251606436</v>
      </c>
      <c r="T45">
        <v>0.75291571539715951</v>
      </c>
    </row>
    <row r="46" spans="1:20" x14ac:dyDescent="0.25">
      <c r="A46" s="1">
        <v>44713</v>
      </c>
      <c r="B46" s="3">
        <v>-8.43</v>
      </c>
      <c r="C46" s="3">
        <v>2.1</v>
      </c>
      <c r="D46" s="3">
        <v>-5.97</v>
      </c>
      <c r="E46" s="3">
        <v>-5.372023131586551</v>
      </c>
      <c r="F46" s="3">
        <v>-0.54978482712475074</v>
      </c>
      <c r="G46" s="3">
        <v>-0.80156572208475829</v>
      </c>
      <c r="H46" s="3">
        <v>-1.1128340307064399</v>
      </c>
      <c r="I46" s="3">
        <v>2.8613866710749769</v>
      </c>
      <c r="J46" s="3">
        <f t="shared" si="0"/>
        <v>-5.8767776032383887</v>
      </c>
      <c r="L46" t="s">
        <v>5</v>
      </c>
      <c r="M46" s="38">
        <v>-0.37519190965813176</v>
      </c>
      <c r="N46">
        <v>0.20265833019673477</v>
      </c>
      <c r="O46">
        <v>-1.8513520233483935</v>
      </c>
      <c r="P46">
        <v>6.9394533663343583E-2</v>
      </c>
      <c r="Q46">
        <v>-0.78116532872194822</v>
      </c>
      <c r="R46">
        <v>3.0781509405684734E-2</v>
      </c>
      <c r="S46">
        <v>-0.78116532872194822</v>
      </c>
      <c r="T46">
        <v>3.0781509405684734E-2</v>
      </c>
    </row>
    <row r="47" spans="1:20" ht="16.5" thickBot="1" x14ac:dyDescent="0.3">
      <c r="A47" s="1">
        <v>44743</v>
      </c>
      <c r="B47" s="3">
        <v>9.57</v>
      </c>
      <c r="C47" s="3">
        <v>2.81</v>
      </c>
      <c r="D47" s="3">
        <v>-4.05</v>
      </c>
      <c r="E47" s="3">
        <v>9.229656893567574</v>
      </c>
      <c r="F47" s="3">
        <v>-1.7644092752964169</v>
      </c>
      <c r="G47" s="3">
        <v>2.6598328388609449</v>
      </c>
      <c r="H47" s="3">
        <v>-9.0652141871217822</v>
      </c>
      <c r="I47" s="3">
        <v>8.9956315049766111</v>
      </c>
      <c r="J47" s="3">
        <f t="shared" si="0"/>
        <v>6.9965437510250563</v>
      </c>
      <c r="L47" s="5" t="s">
        <v>6</v>
      </c>
      <c r="M47" s="39">
        <v>0.12913835621851152</v>
      </c>
      <c r="N47" s="5">
        <v>0.11852956616684227</v>
      </c>
      <c r="O47" s="5">
        <v>1.0895033230505233</v>
      </c>
      <c r="P47" s="5">
        <v>0.28059826505567909</v>
      </c>
      <c r="Q47" s="5">
        <v>-0.10830489711428007</v>
      </c>
      <c r="R47" s="5">
        <v>0.36658160955130309</v>
      </c>
      <c r="S47" s="5">
        <v>-0.10830489711428007</v>
      </c>
      <c r="T47" s="5">
        <v>0.36658160955130309</v>
      </c>
    </row>
    <row r="48" spans="1:20" x14ac:dyDescent="0.25">
      <c r="A48" s="1">
        <v>44774</v>
      </c>
      <c r="B48" s="3">
        <v>-3.77</v>
      </c>
      <c r="C48" s="3">
        <v>1.4</v>
      </c>
      <c r="D48" s="3">
        <v>0.28999999999999998</v>
      </c>
      <c r="E48" s="3">
        <v>-7.0540116474122714</v>
      </c>
      <c r="F48" s="3">
        <v>-7.7421506369395141</v>
      </c>
      <c r="G48" s="3">
        <v>-4.0235775241183038</v>
      </c>
      <c r="H48" s="3">
        <v>-8.5337735263244152</v>
      </c>
      <c r="I48" s="3">
        <v>0.48465581138641539</v>
      </c>
      <c r="J48" s="3">
        <f t="shared" si="0"/>
        <v>-5.2170808729710734</v>
      </c>
      <c r="L48"/>
      <c r="M48"/>
      <c r="N48"/>
      <c r="O48"/>
      <c r="P48"/>
      <c r="Q48"/>
      <c r="R48"/>
      <c r="S48"/>
      <c r="T48"/>
    </row>
    <row r="49" spans="1:20" x14ac:dyDescent="0.25">
      <c r="A49" s="1">
        <v>44805</v>
      </c>
      <c r="B49" s="3">
        <v>-9.35</v>
      </c>
      <c r="C49" s="3">
        <v>-0.81</v>
      </c>
      <c r="D49" s="3">
        <v>0.05</v>
      </c>
      <c r="E49" s="3">
        <v>-10.927606830949729</v>
      </c>
      <c r="F49" s="3">
        <v>1.7423245385893806</v>
      </c>
      <c r="G49" s="3">
        <v>-9.4105437190642114</v>
      </c>
      <c r="H49" s="3">
        <v>-9.3743896799582593</v>
      </c>
      <c r="I49" s="3">
        <v>-7.5609606412009303</v>
      </c>
      <c r="J49" s="3">
        <f t="shared" si="0"/>
        <v>-8.0470185136656074</v>
      </c>
      <c r="L49"/>
      <c r="M49"/>
      <c r="N49"/>
      <c r="O49"/>
      <c r="P49"/>
      <c r="Q49"/>
      <c r="R49"/>
      <c r="S49"/>
      <c r="T49"/>
    </row>
    <row r="50" spans="1:20" x14ac:dyDescent="0.25">
      <c r="A50" s="1">
        <v>44835</v>
      </c>
      <c r="B50" s="3">
        <v>7.83</v>
      </c>
      <c r="C50" s="3">
        <v>0.06</v>
      </c>
      <c r="D50" s="3">
        <v>8.01</v>
      </c>
      <c r="E50" s="3">
        <v>-0.56061018057525258</v>
      </c>
      <c r="F50" s="3">
        <v>6.2648625775800513</v>
      </c>
      <c r="G50" s="3">
        <v>7.3857665750464783</v>
      </c>
      <c r="H50" s="3">
        <v>-1.8102012752832772</v>
      </c>
      <c r="I50" s="3">
        <v>-1.3905641408636402</v>
      </c>
      <c r="J50" s="3">
        <f t="shared" si="0"/>
        <v>5.1246524306142316</v>
      </c>
      <c r="L50" t="s">
        <v>11</v>
      </c>
      <c r="M50"/>
      <c r="N50" s="8" t="s">
        <v>8</v>
      </c>
      <c r="O50"/>
      <c r="P50"/>
      <c r="Q50"/>
      <c r="R50"/>
      <c r="S50"/>
      <c r="T50"/>
    </row>
    <row r="51" spans="1:20" ht="16.5" thickBot="1" x14ac:dyDescent="0.3">
      <c r="A51" s="1">
        <v>44866</v>
      </c>
      <c r="B51" s="3">
        <v>4.5999999999999996</v>
      </c>
      <c r="C51" s="3">
        <v>-3.52</v>
      </c>
      <c r="D51" s="3">
        <v>1.38</v>
      </c>
      <c r="E51" s="3">
        <v>9.6225494877189597</v>
      </c>
      <c r="F51" s="3">
        <v>2.0264946208281911</v>
      </c>
      <c r="G51" s="3">
        <v>5.9923878414476786</v>
      </c>
      <c r="H51" s="3">
        <v>5.7761480958008606</v>
      </c>
      <c r="I51" s="3">
        <v>9.0002970939661164</v>
      </c>
      <c r="J51" s="3">
        <f t="shared" si="0"/>
        <v>5.5619820124844939</v>
      </c>
      <c r="L51"/>
      <c r="M51"/>
      <c r="N51"/>
      <c r="O51" t="s">
        <v>51</v>
      </c>
      <c r="P51" t="s">
        <v>98</v>
      </c>
      <c r="Q51"/>
      <c r="R51"/>
      <c r="S51"/>
      <c r="T51"/>
    </row>
    <row r="52" spans="1:20" x14ac:dyDescent="0.25">
      <c r="A52" s="1">
        <v>44896</v>
      </c>
      <c r="B52" s="3">
        <v>-6.41</v>
      </c>
      <c r="C52" s="3">
        <v>-0.69</v>
      </c>
      <c r="D52" s="3">
        <v>1.37</v>
      </c>
      <c r="E52" s="3">
        <v>-6.0696481085695613</v>
      </c>
      <c r="F52" s="3">
        <v>-0.44787355507892895</v>
      </c>
      <c r="G52" s="3">
        <v>0.37921599357307573</v>
      </c>
      <c r="H52" s="3">
        <v>0.74748748483296179</v>
      </c>
      <c r="I52" s="3">
        <v>-1.1274303305692155</v>
      </c>
      <c r="J52" s="3">
        <f t="shared" si="0"/>
        <v>-4.9218052334007005</v>
      </c>
      <c r="L52" s="7" t="s">
        <v>12</v>
      </c>
      <c r="M52" s="7"/>
      <c r="N52"/>
      <c r="O52" t="s">
        <v>5</v>
      </c>
      <c r="P52" t="s">
        <v>100</v>
      </c>
      <c r="Q52"/>
      <c r="R52"/>
      <c r="S52"/>
      <c r="T52"/>
    </row>
    <row r="53" spans="1:20" x14ac:dyDescent="0.25">
      <c r="A53" s="1">
        <v>44927</v>
      </c>
      <c r="B53" s="3">
        <v>6.65</v>
      </c>
      <c r="C53" s="3">
        <v>5.01</v>
      </c>
      <c r="D53" s="3">
        <v>-4.01</v>
      </c>
      <c r="E53" s="3">
        <v>2.9816561125157128</v>
      </c>
      <c r="F53" s="3">
        <v>-7.8393900561716849</v>
      </c>
      <c r="G53" s="3">
        <v>-3.9500710680040294</v>
      </c>
      <c r="H53" s="3">
        <v>5.1576058343977556</v>
      </c>
      <c r="I53" s="3">
        <v>-11.079674174732672</v>
      </c>
      <c r="J53" s="3">
        <f t="shared" si="0"/>
        <v>2.9577522343555112</v>
      </c>
      <c r="L53" t="s">
        <v>13</v>
      </c>
      <c r="M53">
        <v>0.70636517466912307</v>
      </c>
      <c r="N53"/>
      <c r="O53" t="s">
        <v>6</v>
      </c>
      <c r="P53" t="s">
        <v>101</v>
      </c>
      <c r="Q53"/>
      <c r="R53"/>
      <c r="S53"/>
      <c r="T53"/>
    </row>
    <row r="54" spans="1:20" x14ac:dyDescent="0.25">
      <c r="A54" s="1">
        <v>44958</v>
      </c>
      <c r="B54" s="3">
        <v>-2.58</v>
      </c>
      <c r="C54" s="3">
        <v>1.17</v>
      </c>
      <c r="D54" s="3">
        <v>-0.81</v>
      </c>
      <c r="E54" s="3">
        <v>0.30970024872155194</v>
      </c>
      <c r="F54" s="3">
        <v>-6.5570999625727033</v>
      </c>
      <c r="G54" s="3">
        <v>-3.291722299095627</v>
      </c>
      <c r="H54" s="3">
        <v>-5.5116726347457714</v>
      </c>
      <c r="I54" s="3">
        <v>-5.1637819195497965</v>
      </c>
      <c r="J54" s="3">
        <f t="shared" si="0"/>
        <v>-2.6508865784600704</v>
      </c>
      <c r="L54" t="s">
        <v>14</v>
      </c>
      <c r="M54">
        <v>0.4989517599853408</v>
      </c>
      <c r="N54"/>
      <c r="O54"/>
      <c r="P54"/>
      <c r="Q54"/>
      <c r="R54"/>
      <c r="S54"/>
      <c r="T54"/>
    </row>
    <row r="55" spans="1:20" x14ac:dyDescent="0.25">
      <c r="A55" s="1">
        <v>44986</v>
      </c>
      <c r="B55" s="3">
        <v>2.5099999999999998</v>
      </c>
      <c r="C55" s="3">
        <v>-5.51</v>
      </c>
      <c r="D55" s="3">
        <v>-8.85</v>
      </c>
      <c r="E55" s="3">
        <v>15.517655740919528</v>
      </c>
      <c r="F55" s="3">
        <v>1.5027301104500839</v>
      </c>
      <c r="G55" s="3">
        <v>3.8745767132990321</v>
      </c>
      <c r="H55" s="3">
        <v>-0.1538743351173496</v>
      </c>
      <c r="I55" s="3">
        <v>8.8584882028492302</v>
      </c>
      <c r="J55" s="3">
        <f t="shared" si="0"/>
        <v>5.4984287681377726</v>
      </c>
      <c r="L55" t="s">
        <v>15</v>
      </c>
      <c r="M55">
        <v>0.4721098899845555</v>
      </c>
      <c r="N55"/>
      <c r="O55"/>
      <c r="P55"/>
      <c r="Q55"/>
      <c r="R55"/>
      <c r="S55"/>
      <c r="T55"/>
    </row>
    <row r="56" spans="1:20" x14ac:dyDescent="0.25">
      <c r="A56" s="1">
        <v>45017</v>
      </c>
      <c r="B56" s="3">
        <v>0.61</v>
      </c>
      <c r="C56" s="3">
        <v>-3.35</v>
      </c>
      <c r="D56" s="3">
        <v>-0.04</v>
      </c>
      <c r="E56" s="3">
        <v>6.2265076047585195</v>
      </c>
      <c r="F56" s="3">
        <v>5.2629101010788055</v>
      </c>
      <c r="G56" s="3">
        <v>3.8609735666084668</v>
      </c>
      <c r="H56" s="3">
        <v>-0.50427071908151733</v>
      </c>
      <c r="I56" s="3">
        <v>-0.93381221833421202</v>
      </c>
      <c r="J56" s="3">
        <f t="shared" si="0"/>
        <v>2.6538547478770442</v>
      </c>
      <c r="L56" t="s">
        <v>16</v>
      </c>
      <c r="M56">
        <v>4.0252235823879712</v>
      </c>
      <c r="N56"/>
      <c r="O56"/>
      <c r="P56"/>
      <c r="Q56"/>
      <c r="R56"/>
      <c r="S56"/>
      <c r="T56"/>
    </row>
    <row r="57" spans="1:20" ht="16.5" thickBot="1" x14ac:dyDescent="0.3">
      <c r="A57" s="1">
        <v>45047</v>
      </c>
      <c r="B57" s="3">
        <v>0.35</v>
      </c>
      <c r="C57" s="3">
        <v>1.61</v>
      </c>
      <c r="D57" s="3">
        <v>-7.72</v>
      </c>
      <c r="E57" s="3">
        <v>6.5169065098234213</v>
      </c>
      <c r="F57" s="3">
        <v>-5.6379522357562335</v>
      </c>
      <c r="G57" s="3">
        <v>-7.3592187430505502</v>
      </c>
      <c r="H57" s="3">
        <v>-7.0824817853752897</v>
      </c>
      <c r="I57" s="3">
        <v>-4.4967528727029977</v>
      </c>
      <c r="J57" s="3">
        <f t="shared" si="0"/>
        <v>0.3655805952301206</v>
      </c>
      <c r="L57" s="5" t="s">
        <v>17</v>
      </c>
      <c r="M57" s="5">
        <v>60</v>
      </c>
      <c r="N57"/>
      <c r="O57"/>
      <c r="P57"/>
      <c r="Q57"/>
      <c r="R57"/>
      <c r="S57"/>
      <c r="T57"/>
    </row>
    <row r="58" spans="1:20" x14ac:dyDescent="0.25">
      <c r="A58" s="1">
        <v>45078</v>
      </c>
      <c r="B58" s="3">
        <v>6.46</v>
      </c>
      <c r="C58" s="3">
        <v>1.54</v>
      </c>
      <c r="D58" s="3">
        <v>-0.26</v>
      </c>
      <c r="E58" s="3">
        <v>3.5265586960911981</v>
      </c>
      <c r="F58" s="3">
        <v>7.1511657853148058</v>
      </c>
      <c r="G58" s="3">
        <v>0.53864885546790509</v>
      </c>
      <c r="H58" s="3">
        <v>3.978328270506482</v>
      </c>
      <c r="I58" s="3">
        <v>1.2555788001076711</v>
      </c>
      <c r="J58" s="3">
        <f t="shared" si="0"/>
        <v>5.5244647129585749</v>
      </c>
      <c r="L58"/>
      <c r="M58"/>
      <c r="N58"/>
      <c r="O58"/>
      <c r="P58"/>
      <c r="Q58"/>
      <c r="R58"/>
      <c r="S58"/>
      <c r="T58"/>
    </row>
    <row r="59" spans="1:20" ht="16.5" thickBot="1" x14ac:dyDescent="0.3">
      <c r="A59" s="1">
        <v>45108</v>
      </c>
      <c r="B59" s="3">
        <v>3.21</v>
      </c>
      <c r="C59" s="3">
        <v>2.08</v>
      </c>
      <c r="D59" s="3">
        <v>4.1100000000000003</v>
      </c>
      <c r="E59" s="3">
        <v>-1.8066686953639717</v>
      </c>
      <c r="F59" s="3">
        <v>0.76435252232746653</v>
      </c>
      <c r="G59" s="3">
        <v>3.1728099276818469</v>
      </c>
      <c r="H59" s="3">
        <v>-8.812455457639917</v>
      </c>
      <c r="I59" s="3">
        <v>-1.6629331118501784</v>
      </c>
      <c r="J59" s="3">
        <f t="shared" si="0"/>
        <v>1.1843104640661157</v>
      </c>
      <c r="L59" t="s">
        <v>18</v>
      </c>
      <c r="M59"/>
      <c r="N59"/>
      <c r="O59"/>
      <c r="P59"/>
      <c r="Q59"/>
      <c r="R59"/>
      <c r="S59"/>
      <c r="T59"/>
    </row>
    <row r="60" spans="1:20" x14ac:dyDescent="0.25">
      <c r="A60" s="1">
        <v>45139</v>
      </c>
      <c r="B60" s="3">
        <v>-2.39</v>
      </c>
      <c r="C60" s="3">
        <v>-3.16</v>
      </c>
      <c r="D60" s="3">
        <v>-1.06</v>
      </c>
      <c r="E60" s="3">
        <v>-2.8791405634492282</v>
      </c>
      <c r="F60" s="3">
        <v>-3.9419132294146784</v>
      </c>
      <c r="G60" s="3">
        <v>-3.8409329393929434</v>
      </c>
      <c r="H60" s="3">
        <v>4.0282766007289919</v>
      </c>
      <c r="I60" s="3">
        <v>-9.3176534222548284</v>
      </c>
      <c r="J60" s="3">
        <f t="shared" si="0"/>
        <v>-2.6965684980653282</v>
      </c>
      <c r="L60" s="6"/>
      <c r="M60" s="6" t="s">
        <v>23</v>
      </c>
      <c r="N60" s="6" t="s">
        <v>24</v>
      </c>
      <c r="O60" s="6" t="s">
        <v>25</v>
      </c>
      <c r="P60" s="6" t="s">
        <v>26</v>
      </c>
      <c r="Q60" s="6" t="s">
        <v>27</v>
      </c>
      <c r="R60"/>
      <c r="S60"/>
      <c r="T60"/>
    </row>
    <row r="61" spans="1:20" x14ac:dyDescent="0.25">
      <c r="A61" s="1">
        <v>45170</v>
      </c>
      <c r="B61" s="3">
        <v>-5.24</v>
      </c>
      <c r="C61" s="3">
        <v>-2.5099999999999998</v>
      </c>
      <c r="D61" s="3">
        <v>1.52</v>
      </c>
      <c r="E61" s="3">
        <v>-3.8903175735421267</v>
      </c>
      <c r="F61" s="3">
        <v>-3.3983105220533303</v>
      </c>
      <c r="G61" s="3">
        <v>-6.8649020259750531</v>
      </c>
      <c r="H61" s="3">
        <v>-7.777049914331494</v>
      </c>
      <c r="I61" s="3">
        <v>-14.072362406696929</v>
      </c>
      <c r="J61" s="3">
        <f t="shared" si="0"/>
        <v>-4.9394627405309297</v>
      </c>
      <c r="L61" t="s">
        <v>19</v>
      </c>
      <c r="M61">
        <v>3</v>
      </c>
      <c r="N61">
        <v>903.53933020694194</v>
      </c>
      <c r="O61">
        <v>301.17977673564729</v>
      </c>
      <c r="P61">
        <v>18.588561824147977</v>
      </c>
      <c r="Q61">
        <v>1.7170202838581258E-8</v>
      </c>
      <c r="R61"/>
      <c r="S61"/>
      <c r="T61"/>
    </row>
    <row r="62" spans="1:20" x14ac:dyDescent="0.25">
      <c r="A62" s="1">
        <v>45200</v>
      </c>
      <c r="B62" s="3">
        <v>-3.19</v>
      </c>
      <c r="C62" s="3">
        <v>-3.87</v>
      </c>
      <c r="D62" s="3">
        <v>0.19</v>
      </c>
      <c r="E62" s="3">
        <v>6.6115551892043474</v>
      </c>
      <c r="F62" s="3">
        <v>-5.227629962551668</v>
      </c>
      <c r="G62" s="3">
        <v>1.241650468741599</v>
      </c>
      <c r="H62" s="3">
        <v>7.9224725895423651</v>
      </c>
      <c r="I62" s="3">
        <v>1.2929590748467594</v>
      </c>
      <c r="J62" s="3">
        <f t="shared" si="0"/>
        <v>-0.61071123760561807</v>
      </c>
      <c r="L62" t="s">
        <v>20</v>
      </c>
      <c r="M62">
        <v>56</v>
      </c>
      <c r="N62">
        <v>907.33579373988596</v>
      </c>
      <c r="O62">
        <v>16.202424888212249</v>
      </c>
      <c r="P62"/>
      <c r="Q62"/>
      <c r="R62"/>
      <c r="S62"/>
      <c r="T62"/>
    </row>
    <row r="63" spans="1:20" ht="16.5" thickBot="1" x14ac:dyDescent="0.3">
      <c r="A63" s="1">
        <v>45231</v>
      </c>
      <c r="B63" s="3">
        <v>8.84</v>
      </c>
      <c r="C63" s="3">
        <v>-0.02</v>
      </c>
      <c r="D63" s="3">
        <v>1.64</v>
      </c>
      <c r="E63" s="3">
        <v>11.627082426487064</v>
      </c>
      <c r="F63" s="3">
        <v>3.8204854462620745</v>
      </c>
      <c r="G63" s="3">
        <v>3.0119363702522288</v>
      </c>
      <c r="H63" s="3">
        <v>10.997951103046175</v>
      </c>
      <c r="I63" s="3">
        <v>-7.9798697148096454E-2</v>
      </c>
      <c r="J63" s="3">
        <f t="shared" si="0"/>
        <v>8.4917404883123986</v>
      </c>
      <c r="L63" s="5" t="s">
        <v>21</v>
      </c>
      <c r="M63" s="5">
        <v>59</v>
      </c>
      <c r="N63" s="5">
        <v>1810.8751239468279</v>
      </c>
      <c r="O63" s="5"/>
      <c r="P63" s="5"/>
      <c r="Q63" s="5"/>
      <c r="R63"/>
      <c r="S63"/>
      <c r="T63"/>
    </row>
    <row r="64" spans="1:20" ht="16.5" thickBot="1" x14ac:dyDescent="0.3">
      <c r="A64" s="1">
        <v>45261</v>
      </c>
      <c r="B64" s="3">
        <v>4.8499999999999996</v>
      </c>
      <c r="C64" s="3">
        <v>6.34</v>
      </c>
      <c r="D64" s="3">
        <v>4.93</v>
      </c>
      <c r="E64" s="3">
        <v>-0.98601098820036159</v>
      </c>
      <c r="F64" s="3">
        <v>1.7264703168766242</v>
      </c>
      <c r="G64" s="3">
        <v>1.2114037077506772</v>
      </c>
      <c r="H64" s="3">
        <v>-2.0736307240169092</v>
      </c>
      <c r="I64" s="3">
        <v>4.2260734119202921</v>
      </c>
      <c r="J64" s="3">
        <f>$B$2*B64+$E$2*E64+$F$2*F64+$G$2*G64+$H$2*H64+$I$2*I64</f>
        <v>2.670020800518031</v>
      </c>
      <c r="L64"/>
      <c r="M64"/>
      <c r="N64"/>
      <c r="O64"/>
      <c r="P64"/>
      <c r="Q64"/>
      <c r="R64"/>
      <c r="S64"/>
      <c r="T64"/>
    </row>
    <row r="65" spans="12:20" x14ac:dyDescent="0.25">
      <c r="L65" s="6"/>
      <c r="M65" s="6" t="s">
        <v>28</v>
      </c>
      <c r="N65" s="6" t="s">
        <v>16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33</v>
      </c>
      <c r="T65" s="6" t="s">
        <v>34</v>
      </c>
    </row>
    <row r="66" spans="12:20" x14ac:dyDescent="0.25">
      <c r="L66" t="s">
        <v>22</v>
      </c>
      <c r="M66">
        <v>-0.16354063051695977</v>
      </c>
      <c r="N66">
        <v>0.53375521994342756</v>
      </c>
      <c r="O66">
        <v>-0.30639631127971612</v>
      </c>
      <c r="P66">
        <v>0.76043922339976089</v>
      </c>
      <c r="Q66">
        <v>-1.232780821005236</v>
      </c>
      <c r="R66">
        <v>0.90569955997131646</v>
      </c>
      <c r="S66">
        <v>-1.232780821005236</v>
      </c>
      <c r="T66">
        <v>0.90569955997131646</v>
      </c>
    </row>
    <row r="67" spans="12:20" x14ac:dyDescent="0.25">
      <c r="L67" t="s">
        <v>4</v>
      </c>
      <c r="M67" s="38">
        <v>0.65168113174856335</v>
      </c>
      <c r="N67">
        <v>0.10009007322792615</v>
      </c>
      <c r="O67">
        <v>6.5109466976265304</v>
      </c>
      <c r="P67">
        <v>2.2165721217096174E-8</v>
      </c>
      <c r="Q67">
        <v>0.45117662150591636</v>
      </c>
      <c r="R67">
        <v>0.85218564199121039</v>
      </c>
      <c r="S67">
        <v>0.45117662150591636</v>
      </c>
      <c r="T67">
        <v>0.85218564199121039</v>
      </c>
    </row>
    <row r="68" spans="12:20" x14ac:dyDescent="0.25">
      <c r="L68" t="s">
        <v>5</v>
      </c>
      <c r="M68" s="38">
        <v>-0.77375776037294564</v>
      </c>
      <c r="N68">
        <v>0.19075518768705235</v>
      </c>
      <c r="O68">
        <v>-4.0562868551829432</v>
      </c>
      <c r="P68">
        <v>1.5588630769738105E-4</v>
      </c>
      <c r="Q68">
        <v>-1.1558863196791174</v>
      </c>
      <c r="R68">
        <v>-0.39162920106677401</v>
      </c>
      <c r="S68">
        <v>-1.1558863196791174</v>
      </c>
      <c r="T68">
        <v>-0.39162920106677401</v>
      </c>
    </row>
    <row r="69" spans="12:20" ht="16.5" thickBot="1" x14ac:dyDescent="0.3">
      <c r="L69" s="5" t="s">
        <v>6</v>
      </c>
      <c r="M69" s="39">
        <v>0.32297361136598524</v>
      </c>
      <c r="N69" s="5">
        <v>0.1115677288896619</v>
      </c>
      <c r="O69" s="5">
        <v>2.894865877259178</v>
      </c>
      <c r="P69" s="5">
        <v>5.3984269168906203E-3</v>
      </c>
      <c r="Q69" s="5">
        <v>9.9476593944834352E-2</v>
      </c>
      <c r="R69" s="5">
        <v>0.54647062878713615</v>
      </c>
      <c r="S69" s="5">
        <v>9.9476593944834352E-2</v>
      </c>
      <c r="T69" s="5">
        <v>0.54647062878713615</v>
      </c>
    </row>
    <row r="70" spans="12:20" x14ac:dyDescent="0.25">
      <c r="L70"/>
      <c r="M70"/>
      <c r="N70"/>
      <c r="O70"/>
      <c r="P70"/>
      <c r="Q70"/>
      <c r="R70"/>
      <c r="S70"/>
      <c r="T70"/>
    </row>
    <row r="71" spans="12:20" x14ac:dyDescent="0.25">
      <c r="L71"/>
      <c r="M71"/>
      <c r="N71"/>
      <c r="O71"/>
      <c r="P71"/>
      <c r="Q71"/>
      <c r="R71"/>
      <c r="S71"/>
      <c r="T71"/>
    </row>
    <row r="72" spans="12:20" x14ac:dyDescent="0.25">
      <c r="L72" t="s">
        <v>11</v>
      </c>
      <c r="M72"/>
      <c r="N72" s="8" t="s">
        <v>3</v>
      </c>
      <c r="O72"/>
      <c r="P72"/>
      <c r="Q72"/>
      <c r="R72"/>
      <c r="S72"/>
      <c r="T72"/>
    </row>
    <row r="73" spans="12:20" ht="16.5" thickBot="1" x14ac:dyDescent="0.3">
      <c r="L73"/>
      <c r="M73"/>
      <c r="N73"/>
      <c r="O73" t="s">
        <v>51</v>
      </c>
      <c r="P73" t="s">
        <v>98</v>
      </c>
      <c r="Q73"/>
      <c r="R73"/>
      <c r="S73"/>
      <c r="T73"/>
    </row>
    <row r="74" spans="12:20" x14ac:dyDescent="0.25">
      <c r="L74" s="7" t="s">
        <v>12</v>
      </c>
      <c r="M74" s="7"/>
      <c r="N74"/>
      <c r="O74" t="s">
        <v>5</v>
      </c>
      <c r="P74" t="s">
        <v>100</v>
      </c>
      <c r="Q74"/>
      <c r="R74"/>
      <c r="S74"/>
      <c r="T74"/>
    </row>
    <row r="75" spans="12:20" x14ac:dyDescent="0.25">
      <c r="L75" t="s">
        <v>13</v>
      </c>
      <c r="M75">
        <v>0.50104600949689249</v>
      </c>
      <c r="N75"/>
      <c r="O75" t="s">
        <v>6</v>
      </c>
      <c r="P75" t="s">
        <v>102</v>
      </c>
      <c r="Q75"/>
      <c r="R75"/>
      <c r="S75"/>
      <c r="T75"/>
    </row>
    <row r="76" spans="12:20" x14ac:dyDescent="0.25">
      <c r="L76" t="s">
        <v>14</v>
      </c>
      <c r="M76">
        <v>0.25104710363276012</v>
      </c>
      <c r="N76"/>
      <c r="O76"/>
      <c r="P76"/>
      <c r="Q76"/>
      <c r="R76"/>
      <c r="S76"/>
      <c r="T76"/>
    </row>
    <row r="77" spans="12:20" x14ac:dyDescent="0.25">
      <c r="L77" t="s">
        <v>15</v>
      </c>
      <c r="M77">
        <v>0.21092462704165799</v>
      </c>
      <c r="N77"/>
      <c r="O77"/>
      <c r="P77"/>
      <c r="Q77"/>
      <c r="R77"/>
      <c r="S77"/>
      <c r="T77"/>
    </row>
    <row r="78" spans="12:20" x14ac:dyDescent="0.25">
      <c r="L78" t="s">
        <v>16</v>
      </c>
      <c r="M78">
        <v>4.5291876694058022</v>
      </c>
      <c r="N78"/>
      <c r="O78"/>
      <c r="P78"/>
      <c r="Q78"/>
      <c r="R78"/>
      <c r="S78"/>
      <c r="T78"/>
    </row>
    <row r="79" spans="12:20" ht="16.5" thickBot="1" x14ac:dyDescent="0.3">
      <c r="L79" s="5" t="s">
        <v>17</v>
      </c>
      <c r="M79" s="5">
        <v>60</v>
      </c>
      <c r="N79"/>
      <c r="O79"/>
      <c r="P79"/>
      <c r="Q79"/>
      <c r="R79"/>
      <c r="S79"/>
      <c r="T79"/>
    </row>
    <row r="80" spans="12:20" x14ac:dyDescent="0.25">
      <c r="L80"/>
      <c r="M80"/>
      <c r="N80"/>
      <c r="O80"/>
      <c r="P80"/>
      <c r="Q80"/>
      <c r="R80"/>
      <c r="S80"/>
      <c r="T80"/>
    </row>
    <row r="81" spans="12:20" ht="16.5" thickBot="1" x14ac:dyDescent="0.3">
      <c r="L81" t="s">
        <v>18</v>
      </c>
      <c r="M81"/>
      <c r="N81"/>
      <c r="O81"/>
      <c r="P81"/>
      <c r="Q81"/>
      <c r="R81"/>
      <c r="S81"/>
      <c r="T81"/>
    </row>
    <row r="82" spans="12:20" x14ac:dyDescent="0.25">
      <c r="L82" s="6"/>
      <c r="M82" s="6" t="s">
        <v>23</v>
      </c>
      <c r="N82" s="6" t="s">
        <v>24</v>
      </c>
      <c r="O82" s="6" t="s">
        <v>25</v>
      </c>
      <c r="P82" s="6" t="s">
        <v>26</v>
      </c>
      <c r="Q82" s="6" t="s">
        <v>27</v>
      </c>
      <c r="R82"/>
      <c r="S82"/>
      <c r="T82"/>
    </row>
    <row r="83" spans="12:20" x14ac:dyDescent="0.25">
      <c r="L83" t="s">
        <v>19</v>
      </c>
      <c r="M83">
        <v>3</v>
      </c>
      <c r="N83">
        <v>385.06085443592201</v>
      </c>
      <c r="O83">
        <v>128.35361814530734</v>
      </c>
      <c r="P83">
        <v>6.2570191314768993</v>
      </c>
      <c r="Q83">
        <v>9.7103910814926497E-4</v>
      </c>
      <c r="R83"/>
      <c r="S83"/>
      <c r="T83"/>
    </row>
    <row r="84" spans="12:20" x14ac:dyDescent="0.25">
      <c r="L84" t="s">
        <v>20</v>
      </c>
      <c r="M84">
        <v>56</v>
      </c>
      <c r="N84">
        <v>1148.7582929030634</v>
      </c>
      <c r="O84">
        <v>20.51354094469756</v>
      </c>
      <c r="P84"/>
      <c r="Q84"/>
      <c r="R84"/>
      <c r="S84"/>
      <c r="T84"/>
    </row>
    <row r="85" spans="12:20" ht="16.5" thickBot="1" x14ac:dyDescent="0.3">
      <c r="L85" s="5" t="s">
        <v>21</v>
      </c>
      <c r="M85" s="5">
        <v>59</v>
      </c>
      <c r="N85" s="5">
        <v>1533.8191473389854</v>
      </c>
      <c r="O85" s="5"/>
      <c r="P85" s="5"/>
      <c r="Q85" s="5"/>
      <c r="R85"/>
      <c r="S85"/>
      <c r="T85"/>
    </row>
    <row r="86" spans="12:20" ht="16.5" thickBot="1" x14ac:dyDescent="0.3">
      <c r="L86"/>
      <c r="M86"/>
      <c r="N86"/>
      <c r="O86"/>
      <c r="P86"/>
      <c r="Q86"/>
      <c r="R86"/>
      <c r="S86"/>
      <c r="T86"/>
    </row>
    <row r="87" spans="12:20" x14ac:dyDescent="0.25">
      <c r="L87" s="6"/>
      <c r="M87" s="6" t="s">
        <v>28</v>
      </c>
      <c r="N87" s="6" t="s">
        <v>16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33</v>
      </c>
      <c r="T87" s="6" t="s">
        <v>34</v>
      </c>
    </row>
    <row r="88" spans="12:20" x14ac:dyDescent="0.25">
      <c r="L88" t="s">
        <v>22</v>
      </c>
      <c r="M88">
        <v>-0.81019707554120002</v>
      </c>
      <c r="N88">
        <v>0.60058218162743193</v>
      </c>
      <c r="O88">
        <v>-1.3490195019535256</v>
      </c>
      <c r="P88">
        <v>0.18276041085328945</v>
      </c>
      <c r="Q88">
        <v>-2.0133077567917605</v>
      </c>
      <c r="R88">
        <v>0.39291360570936035</v>
      </c>
      <c r="S88">
        <v>-2.0133077567917605</v>
      </c>
      <c r="T88">
        <v>0.39291360570936035</v>
      </c>
    </row>
    <row r="89" spans="12:20" x14ac:dyDescent="0.25">
      <c r="L89" t="s">
        <v>4</v>
      </c>
      <c r="M89" s="38">
        <v>0.44186212102535549</v>
      </c>
      <c r="N89">
        <v>0.11262150194025</v>
      </c>
      <c r="O89">
        <v>3.9234259303323817</v>
      </c>
      <c r="P89">
        <v>2.4095482895057903E-4</v>
      </c>
      <c r="Q89">
        <v>0.21625414252084199</v>
      </c>
      <c r="R89">
        <v>0.66747009952986902</v>
      </c>
      <c r="S89">
        <v>0.21625414252084199</v>
      </c>
      <c r="T89">
        <v>0.66747009952986902</v>
      </c>
    </row>
    <row r="90" spans="12:20" x14ac:dyDescent="0.25">
      <c r="L90" t="s">
        <v>5</v>
      </c>
      <c r="M90" s="38">
        <v>-0.58876250433792243</v>
      </c>
      <c r="N90">
        <v>0.21463802600372267</v>
      </c>
      <c r="O90">
        <v>-2.7430484490558582</v>
      </c>
      <c r="P90">
        <v>8.1605883348127503E-3</v>
      </c>
      <c r="Q90">
        <v>-1.0187341378417083</v>
      </c>
      <c r="R90">
        <v>-0.15879087083413665</v>
      </c>
      <c r="S90">
        <v>-1.0187341378417083</v>
      </c>
      <c r="T90">
        <v>-0.15879087083413665</v>
      </c>
    </row>
    <row r="91" spans="12:20" ht="16.5" thickBot="1" x14ac:dyDescent="0.3">
      <c r="L91" s="5" t="s">
        <v>6</v>
      </c>
      <c r="M91" s="39">
        <v>0.11861182942022599</v>
      </c>
      <c r="N91" s="5">
        <v>0.12553617746890208</v>
      </c>
      <c r="O91" s="5">
        <v>0.94484181223065045</v>
      </c>
      <c r="P91" s="5">
        <v>0.34879858083525039</v>
      </c>
      <c r="Q91" s="5">
        <v>-0.13286735297399152</v>
      </c>
      <c r="R91" s="5">
        <v>0.37009101181444354</v>
      </c>
      <c r="S91" s="5">
        <v>-0.13286735297399152</v>
      </c>
      <c r="T91" s="5">
        <v>0.37009101181444354</v>
      </c>
    </row>
    <row r="92" spans="12:20" x14ac:dyDescent="0.25">
      <c r="L92"/>
      <c r="M92"/>
      <c r="N92"/>
      <c r="O92"/>
      <c r="P92"/>
      <c r="Q92"/>
      <c r="R92"/>
      <c r="S92"/>
      <c r="T92"/>
    </row>
    <row r="93" spans="12:20" x14ac:dyDescent="0.25">
      <c r="L93"/>
      <c r="M93"/>
      <c r="N93"/>
      <c r="O93"/>
      <c r="P93"/>
      <c r="Q93"/>
      <c r="R93"/>
      <c r="S93"/>
      <c r="T93"/>
    </row>
    <row r="94" spans="12:20" x14ac:dyDescent="0.25">
      <c r="L94" t="s">
        <v>11</v>
      </c>
      <c r="M94"/>
      <c r="N94" s="8" t="s">
        <v>113</v>
      </c>
      <c r="O94"/>
      <c r="P94"/>
      <c r="Q94"/>
      <c r="R94"/>
      <c r="S94"/>
      <c r="T94"/>
    </row>
    <row r="95" spans="12:20" ht="16.5" thickBot="1" x14ac:dyDescent="0.3">
      <c r="L95"/>
      <c r="M95"/>
      <c r="N95"/>
      <c r="O95" t="s">
        <v>51</v>
      </c>
      <c r="P95" t="s">
        <v>98</v>
      </c>
      <c r="Q95"/>
      <c r="R95"/>
      <c r="S95"/>
      <c r="T95"/>
    </row>
    <row r="96" spans="12:20" x14ac:dyDescent="0.25">
      <c r="L96" s="7" t="s">
        <v>12</v>
      </c>
      <c r="M96" s="7"/>
      <c r="N96"/>
      <c r="O96" t="s">
        <v>5</v>
      </c>
      <c r="P96" t="s">
        <v>102</v>
      </c>
      <c r="Q96"/>
      <c r="R96"/>
      <c r="S96"/>
      <c r="T96"/>
    </row>
    <row r="97" spans="12:20" x14ac:dyDescent="0.25">
      <c r="L97" t="s">
        <v>13</v>
      </c>
      <c r="M97">
        <v>0.48992163603030447</v>
      </c>
      <c r="N97"/>
      <c r="O97" t="s">
        <v>6</v>
      </c>
      <c r="P97" t="s">
        <v>99</v>
      </c>
      <c r="Q97"/>
      <c r="R97"/>
      <c r="S97"/>
      <c r="T97"/>
    </row>
    <row r="98" spans="12:20" x14ac:dyDescent="0.25">
      <c r="L98" t="s">
        <v>14</v>
      </c>
      <c r="M98">
        <v>0.24002320945061015</v>
      </c>
      <c r="N98"/>
      <c r="O98"/>
      <c r="P98"/>
      <c r="Q98"/>
      <c r="R98"/>
      <c r="S98"/>
      <c r="T98"/>
    </row>
    <row r="99" spans="12:20" x14ac:dyDescent="0.25">
      <c r="L99" t="s">
        <v>15</v>
      </c>
      <c r="M99">
        <v>0.19931016709974997</v>
      </c>
      <c r="N99"/>
      <c r="O99"/>
      <c r="P99"/>
      <c r="Q99"/>
      <c r="R99"/>
      <c r="S99"/>
      <c r="T99"/>
    </row>
    <row r="100" spans="12:20" x14ac:dyDescent="0.25">
      <c r="L100" t="s">
        <v>16</v>
      </c>
      <c r="M100">
        <v>6.0507843288674845</v>
      </c>
      <c r="N100"/>
      <c r="O100"/>
      <c r="P100"/>
      <c r="Q100"/>
      <c r="R100"/>
      <c r="S100"/>
      <c r="T100"/>
    </row>
    <row r="101" spans="12:20" ht="16.5" thickBot="1" x14ac:dyDescent="0.3">
      <c r="L101" s="5" t="s">
        <v>17</v>
      </c>
      <c r="M101" s="5">
        <v>60</v>
      </c>
      <c r="N101"/>
      <c r="O101"/>
      <c r="P101"/>
      <c r="Q101"/>
      <c r="R101"/>
      <c r="S101"/>
      <c r="T101"/>
    </row>
    <row r="102" spans="12:20" x14ac:dyDescent="0.25">
      <c r="L102"/>
      <c r="M102"/>
      <c r="N102"/>
      <c r="O102"/>
      <c r="P102"/>
      <c r="Q102"/>
      <c r="R102"/>
      <c r="S102"/>
      <c r="T102"/>
    </row>
    <row r="103" spans="12:20" ht="16.5" thickBot="1" x14ac:dyDescent="0.3">
      <c r="L103" t="s">
        <v>18</v>
      </c>
      <c r="M103"/>
      <c r="N103"/>
      <c r="O103"/>
      <c r="P103"/>
      <c r="Q103"/>
      <c r="R103"/>
      <c r="S103"/>
      <c r="T103"/>
    </row>
    <row r="104" spans="12:20" x14ac:dyDescent="0.25">
      <c r="L104" s="6"/>
      <c r="M104" s="6" t="s">
        <v>23</v>
      </c>
      <c r="N104" s="6" t="s">
        <v>24</v>
      </c>
      <c r="O104" s="6" t="s">
        <v>25</v>
      </c>
      <c r="P104" s="6" t="s">
        <v>26</v>
      </c>
      <c r="Q104" s="6" t="s">
        <v>27</v>
      </c>
      <c r="R104"/>
      <c r="S104"/>
      <c r="T104"/>
    </row>
    <row r="105" spans="12:20" x14ac:dyDescent="0.25">
      <c r="L105" t="s">
        <v>19</v>
      </c>
      <c r="M105">
        <v>3</v>
      </c>
      <c r="N105">
        <v>647.53654422120053</v>
      </c>
      <c r="O105">
        <v>215.84551474040018</v>
      </c>
      <c r="P105">
        <v>5.8954869395934253</v>
      </c>
      <c r="Q105">
        <v>1.4333821521428129E-3</v>
      </c>
      <c r="R105"/>
      <c r="S105"/>
      <c r="T105"/>
    </row>
    <row r="106" spans="12:20" x14ac:dyDescent="0.25">
      <c r="L106" t="s">
        <v>20</v>
      </c>
      <c r="M106">
        <v>56</v>
      </c>
      <c r="N106">
        <v>2050.2714956902269</v>
      </c>
      <c r="O106">
        <v>36.611990994468336</v>
      </c>
      <c r="P106"/>
      <c r="Q106"/>
      <c r="R106"/>
      <c r="S106"/>
      <c r="T106"/>
    </row>
    <row r="107" spans="12:20" ht="16.5" thickBot="1" x14ac:dyDescent="0.3">
      <c r="L107" s="5" t="s">
        <v>21</v>
      </c>
      <c r="M107" s="5">
        <v>59</v>
      </c>
      <c r="N107" s="5">
        <v>2697.8080399114274</v>
      </c>
      <c r="O107" s="5"/>
      <c r="P107" s="5"/>
      <c r="Q107" s="5"/>
      <c r="R107"/>
      <c r="S107"/>
      <c r="T107"/>
    </row>
    <row r="108" spans="12:20" ht="16.5" thickBot="1" x14ac:dyDescent="0.3">
      <c r="L108"/>
      <c r="M108"/>
      <c r="N108"/>
      <c r="O108"/>
      <c r="P108"/>
      <c r="Q108"/>
      <c r="R108"/>
      <c r="S108"/>
      <c r="T108"/>
    </row>
    <row r="109" spans="12:20" x14ac:dyDescent="0.25">
      <c r="L109" s="6"/>
      <c r="M109" s="6" t="s">
        <v>28</v>
      </c>
      <c r="N109" s="6" t="s">
        <v>16</v>
      </c>
      <c r="O109" s="6" t="s">
        <v>29</v>
      </c>
      <c r="P109" s="6" t="s">
        <v>30</v>
      </c>
      <c r="Q109" s="6" t="s">
        <v>31</v>
      </c>
      <c r="R109" s="6" t="s">
        <v>32</v>
      </c>
      <c r="S109" s="6" t="s">
        <v>33</v>
      </c>
      <c r="T109" s="6" t="s">
        <v>34</v>
      </c>
    </row>
    <row r="110" spans="12:20" x14ac:dyDescent="0.25">
      <c r="L110" t="s">
        <v>22</v>
      </c>
      <c r="M110">
        <v>0.13973163498621632</v>
      </c>
      <c r="N110">
        <v>0.80234989539858592</v>
      </c>
      <c r="O110">
        <v>0.17415299208931959</v>
      </c>
      <c r="P110">
        <v>0.86237328684908066</v>
      </c>
      <c r="Q110">
        <v>-1.4675683462395623</v>
      </c>
      <c r="R110">
        <v>1.747031616211995</v>
      </c>
      <c r="S110">
        <v>-1.4675683462395623</v>
      </c>
      <c r="T110">
        <v>1.747031616211995</v>
      </c>
    </row>
    <row r="111" spans="12:20" x14ac:dyDescent="0.25">
      <c r="L111" t="s">
        <v>4</v>
      </c>
      <c r="M111" s="38">
        <v>0.55789008047507938</v>
      </c>
      <c r="N111">
        <v>0.15045709490836465</v>
      </c>
      <c r="O111">
        <v>3.7079679148056148</v>
      </c>
      <c r="P111">
        <v>4.8107610786381325E-4</v>
      </c>
      <c r="Q111">
        <v>0.25648830151508439</v>
      </c>
      <c r="R111">
        <v>0.85929185943507436</v>
      </c>
      <c r="S111">
        <v>0.25648830151508439</v>
      </c>
      <c r="T111">
        <v>0.85929185943507436</v>
      </c>
    </row>
    <row r="112" spans="12:20" x14ac:dyDescent="0.25">
      <c r="L112" t="s">
        <v>5</v>
      </c>
      <c r="M112" s="38">
        <v>-0.35268763760105554</v>
      </c>
      <c r="N112">
        <v>0.28674643201365974</v>
      </c>
      <c r="O112">
        <v>-1.2299634737364564</v>
      </c>
      <c r="P112">
        <v>0.22385298864103151</v>
      </c>
      <c r="Q112">
        <v>-0.92710976619516194</v>
      </c>
      <c r="R112">
        <v>0.22173449099305084</v>
      </c>
      <c r="S112">
        <v>-0.92710976619516194</v>
      </c>
      <c r="T112">
        <v>0.22173449099305084</v>
      </c>
    </row>
    <row r="113" spans="12:20" ht="16.5" thickBot="1" x14ac:dyDescent="0.3">
      <c r="L113" s="5" t="s">
        <v>6</v>
      </c>
      <c r="M113" s="39">
        <v>-0.35739126739263677</v>
      </c>
      <c r="N113" s="5">
        <v>0.16771050148037109</v>
      </c>
      <c r="O113" s="5">
        <v>-2.1310011253795338</v>
      </c>
      <c r="P113" s="5">
        <v>3.7493189531838687E-2</v>
      </c>
      <c r="Q113" s="5">
        <v>-0.69335577293651252</v>
      </c>
      <c r="R113" s="5">
        <v>-2.1426761848760974E-2</v>
      </c>
      <c r="S113" s="5">
        <v>-0.69335577293651252</v>
      </c>
      <c r="T113" s="5">
        <v>-2.1426761848760974E-2</v>
      </c>
    </row>
    <row r="114" spans="12:20" x14ac:dyDescent="0.25">
      <c r="L114"/>
      <c r="M114"/>
      <c r="N114"/>
      <c r="O114"/>
      <c r="P114"/>
      <c r="Q114"/>
      <c r="R114"/>
      <c r="S114"/>
      <c r="T114"/>
    </row>
    <row r="115" spans="12:20" x14ac:dyDescent="0.25">
      <c r="L115"/>
      <c r="M115"/>
      <c r="N115"/>
      <c r="O115"/>
      <c r="P115"/>
      <c r="Q115"/>
      <c r="R115"/>
      <c r="S115"/>
      <c r="T115"/>
    </row>
    <row r="116" spans="12:20" x14ac:dyDescent="0.25">
      <c r="L116" t="s">
        <v>11</v>
      </c>
      <c r="M116"/>
      <c r="N116" s="8" t="s">
        <v>97</v>
      </c>
      <c r="O116"/>
      <c r="P116"/>
      <c r="Q116"/>
      <c r="R116"/>
      <c r="S116"/>
      <c r="T116"/>
    </row>
    <row r="117" spans="12:20" ht="16.5" thickBot="1" x14ac:dyDescent="0.3">
      <c r="L117"/>
      <c r="M117"/>
      <c r="N117"/>
      <c r="O117" t="s">
        <v>51</v>
      </c>
      <c r="P117" t="s">
        <v>98</v>
      </c>
      <c r="Q117"/>
      <c r="R117"/>
      <c r="S117"/>
      <c r="T117"/>
    </row>
    <row r="118" spans="12:20" x14ac:dyDescent="0.25">
      <c r="L118" s="7" t="s">
        <v>12</v>
      </c>
      <c r="M118" s="7"/>
      <c r="N118"/>
      <c r="O118" t="s">
        <v>5</v>
      </c>
      <c r="P118" t="s">
        <v>100</v>
      </c>
      <c r="Q118"/>
      <c r="R118"/>
      <c r="S118"/>
      <c r="T118"/>
    </row>
    <row r="119" spans="12:20" x14ac:dyDescent="0.25">
      <c r="L119" t="s">
        <v>13</v>
      </c>
      <c r="M119">
        <v>0.97711885548870026</v>
      </c>
      <c r="N119"/>
      <c r="O119" t="s">
        <v>6</v>
      </c>
      <c r="P119" t="s">
        <v>99</v>
      </c>
      <c r="Q119"/>
      <c r="R119"/>
      <c r="S119"/>
      <c r="T119"/>
    </row>
    <row r="120" spans="12:20" x14ac:dyDescent="0.25">
      <c r="L120" t="s">
        <v>14</v>
      </c>
      <c r="M120">
        <v>0.95476125775154741</v>
      </c>
      <c r="N120"/>
      <c r="O120"/>
      <c r="P120"/>
      <c r="Q120"/>
      <c r="R120"/>
      <c r="S120"/>
      <c r="T120"/>
    </row>
    <row r="121" spans="12:20" x14ac:dyDescent="0.25">
      <c r="L121" t="s">
        <v>15</v>
      </c>
      <c r="M121">
        <v>0.95233775370252316</v>
      </c>
      <c r="N121"/>
      <c r="O121"/>
      <c r="P121"/>
      <c r="Q121"/>
      <c r="R121"/>
      <c r="S121"/>
      <c r="T121"/>
    </row>
    <row r="122" spans="12:20" x14ac:dyDescent="0.25">
      <c r="L122" t="s">
        <v>16</v>
      </c>
      <c r="M122">
        <v>1.0542714274013754</v>
      </c>
      <c r="N122"/>
      <c r="O122"/>
      <c r="P122"/>
      <c r="Q122"/>
      <c r="R122"/>
      <c r="S122"/>
      <c r="T122"/>
    </row>
    <row r="123" spans="12:20" ht="16.5" thickBot="1" x14ac:dyDescent="0.3">
      <c r="L123" s="5" t="s">
        <v>17</v>
      </c>
      <c r="M123" s="5">
        <v>60</v>
      </c>
      <c r="N123"/>
      <c r="O123"/>
      <c r="P123"/>
      <c r="Q123"/>
      <c r="R123"/>
      <c r="S123"/>
      <c r="T123"/>
    </row>
    <row r="124" spans="12:20" x14ac:dyDescent="0.25">
      <c r="L124"/>
      <c r="M124"/>
      <c r="N124"/>
      <c r="O124"/>
      <c r="P124"/>
      <c r="Q124"/>
      <c r="R124"/>
      <c r="S124"/>
      <c r="T124"/>
    </row>
    <row r="125" spans="12:20" ht="16.5" thickBot="1" x14ac:dyDescent="0.3">
      <c r="L125" t="s">
        <v>18</v>
      </c>
      <c r="M125"/>
      <c r="N125"/>
      <c r="O125"/>
      <c r="P125"/>
      <c r="Q125"/>
      <c r="R125"/>
      <c r="S125"/>
      <c r="T125"/>
    </row>
    <row r="126" spans="12:20" x14ac:dyDescent="0.25">
      <c r="L126" s="6"/>
      <c r="M126" s="6" t="s">
        <v>23</v>
      </c>
      <c r="N126" s="6" t="s">
        <v>24</v>
      </c>
      <c r="O126" s="6" t="s">
        <v>25</v>
      </c>
      <c r="P126" s="6" t="s">
        <v>26</v>
      </c>
      <c r="Q126" s="6" t="s">
        <v>27</v>
      </c>
      <c r="R126"/>
      <c r="S126"/>
      <c r="T126"/>
    </row>
    <row r="127" spans="12:20" x14ac:dyDescent="0.25">
      <c r="L127" t="s">
        <v>19</v>
      </c>
      <c r="M127">
        <v>3</v>
      </c>
      <c r="N127">
        <v>1313.6424256540224</v>
      </c>
      <c r="O127">
        <v>437.88080855134081</v>
      </c>
      <c r="P127">
        <v>393.95901077035688</v>
      </c>
      <c r="Q127">
        <v>1.3377611103460769E-37</v>
      </c>
      <c r="R127"/>
      <c r="S127"/>
      <c r="T127"/>
    </row>
    <row r="128" spans="12:20" x14ac:dyDescent="0.25">
      <c r="L128" t="s">
        <v>20</v>
      </c>
      <c r="M128">
        <v>56</v>
      </c>
      <c r="N128">
        <v>62.24334158755628</v>
      </c>
      <c r="O128">
        <v>1.1114882426349335</v>
      </c>
      <c r="P128"/>
      <c r="Q128"/>
      <c r="R128"/>
      <c r="S128"/>
      <c r="T128"/>
    </row>
    <row r="129" spans="12:20" ht="16.5" thickBot="1" x14ac:dyDescent="0.3">
      <c r="L129" s="5" t="s">
        <v>21</v>
      </c>
      <c r="M129" s="5">
        <v>59</v>
      </c>
      <c r="N129" s="5">
        <v>1375.8857672415786</v>
      </c>
      <c r="O129" s="5"/>
      <c r="P129" s="5"/>
      <c r="Q129" s="5"/>
      <c r="R129"/>
      <c r="S129"/>
      <c r="T129"/>
    </row>
    <row r="130" spans="12:20" ht="16.5" thickBot="1" x14ac:dyDescent="0.3">
      <c r="L130"/>
      <c r="M130"/>
      <c r="N130"/>
      <c r="O130"/>
      <c r="P130"/>
      <c r="Q130"/>
      <c r="R130"/>
      <c r="S130"/>
      <c r="T130"/>
    </row>
    <row r="131" spans="12:20" x14ac:dyDescent="0.25">
      <c r="L131" s="6"/>
      <c r="M131" s="6" t="s">
        <v>28</v>
      </c>
      <c r="N131" s="6" t="s">
        <v>16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33</v>
      </c>
      <c r="T131" s="6" t="s">
        <v>34</v>
      </c>
    </row>
    <row r="132" spans="12:20" x14ac:dyDescent="0.25">
      <c r="L132" t="s">
        <v>22</v>
      </c>
      <c r="M132">
        <v>0.22976155462076886</v>
      </c>
      <c r="N132">
        <v>0.13979916049255983</v>
      </c>
      <c r="O132">
        <v>1.6435116907085923</v>
      </c>
      <c r="P132">
        <v>0.10588064686042388</v>
      </c>
      <c r="Q132">
        <v>-5.0289816138675822E-2</v>
      </c>
      <c r="R132">
        <v>0.5098129253802135</v>
      </c>
      <c r="S132">
        <v>-5.0289816138675822E-2</v>
      </c>
      <c r="T132">
        <v>0.5098129253802135</v>
      </c>
    </row>
    <row r="133" spans="12:20" x14ac:dyDescent="0.25">
      <c r="L133" t="s">
        <v>4</v>
      </c>
      <c r="M133" s="38">
        <v>0.88351394721457155</v>
      </c>
      <c r="N133">
        <v>2.6215215679550579E-2</v>
      </c>
      <c r="O133">
        <v>33.702333713918847</v>
      </c>
      <c r="P133">
        <v>7.0970318723478668E-39</v>
      </c>
      <c r="Q133">
        <v>0.83099855971191661</v>
      </c>
      <c r="R133">
        <v>0.93602933471722649</v>
      </c>
      <c r="S133">
        <v>0.83099855971191661</v>
      </c>
      <c r="T133">
        <v>0.93602933471722649</v>
      </c>
    </row>
    <row r="134" spans="12:20" x14ac:dyDescent="0.25">
      <c r="L134" t="s">
        <v>5</v>
      </c>
      <c r="M134" s="38">
        <v>-0.24520029802267249</v>
      </c>
      <c r="N134">
        <v>4.9961881592609184E-2</v>
      </c>
      <c r="O134">
        <v>-4.9077474708027156</v>
      </c>
      <c r="P134">
        <v>8.3272994355815038E-6</v>
      </c>
      <c r="Q134">
        <v>-0.34528597361924318</v>
      </c>
      <c r="R134">
        <v>-0.14511462242610176</v>
      </c>
      <c r="S134">
        <v>-0.34528597361924318</v>
      </c>
      <c r="T134">
        <v>-0.14511462242610176</v>
      </c>
    </row>
    <row r="135" spans="12:20" ht="16.5" thickBot="1" x14ac:dyDescent="0.3">
      <c r="L135" s="5" t="s">
        <v>6</v>
      </c>
      <c r="M135" s="39">
        <v>-8.9995789259364786E-2</v>
      </c>
      <c r="N135" s="5">
        <v>2.9221400098886848E-2</v>
      </c>
      <c r="O135" s="5">
        <v>-3.0797904602385242</v>
      </c>
      <c r="P135" s="5">
        <v>3.2074853220539564E-3</v>
      </c>
      <c r="Q135" s="5">
        <v>-0.14853328779920016</v>
      </c>
      <c r="R135" s="5">
        <v>-3.1458290719529401E-2</v>
      </c>
      <c r="S135" s="5">
        <v>-0.14853328779920016</v>
      </c>
      <c r="T135" s="5">
        <v>-3.1458290719529401E-2</v>
      </c>
    </row>
    <row r="136" spans="12:20" x14ac:dyDescent="0.25">
      <c r="L136"/>
      <c r="M136"/>
      <c r="N136"/>
      <c r="O136"/>
      <c r="P136"/>
      <c r="Q136"/>
      <c r="R136"/>
      <c r="S136"/>
      <c r="T136"/>
    </row>
    <row r="137" spans="12:20" x14ac:dyDescent="0.25">
      <c r="L137"/>
      <c r="M137"/>
      <c r="N137"/>
      <c r="O137"/>
      <c r="P137"/>
      <c r="Q137"/>
      <c r="R137"/>
      <c r="S137"/>
      <c r="T137"/>
    </row>
    <row r="138" spans="12:20" x14ac:dyDescent="0.25">
      <c r="L138"/>
      <c r="M138"/>
      <c r="N138"/>
      <c r="O138"/>
      <c r="P138"/>
      <c r="Q138"/>
      <c r="R138"/>
      <c r="S138"/>
      <c r="T1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739E-C5F4-C04C-BABB-9F557FB309FC}">
  <dimension ref="A1:AB91"/>
  <sheetViews>
    <sheetView topLeftCell="G73" zoomScale="84" zoomScaleNormal="40" workbookViewId="0">
      <selection activeCell="L89" sqref="L89:M91"/>
    </sheetView>
  </sheetViews>
  <sheetFormatPr defaultColWidth="11.5" defaultRowHeight="15.75" x14ac:dyDescent="0.25"/>
  <cols>
    <col min="1" max="1" width="7.625" bestFit="1" customWidth="1"/>
    <col min="2" max="2" width="9.875" bestFit="1" customWidth="1"/>
    <col min="3" max="3" width="11.125" bestFit="1" customWidth="1"/>
    <col min="4" max="4" width="10.625" bestFit="1" customWidth="1"/>
    <col min="5" max="6" width="11.625" bestFit="1" customWidth="1"/>
    <col min="7" max="7" width="10.375" bestFit="1" customWidth="1"/>
    <col min="8" max="8" width="10.125" bestFit="1" customWidth="1"/>
    <col min="9" max="9" width="11" bestFit="1" customWidth="1"/>
    <col min="10" max="10" width="11" customWidth="1"/>
    <col min="11" max="11" width="11.5" style="81"/>
    <col min="12" max="12" width="13" style="81" customWidth="1"/>
    <col min="13" max="13" width="15.125" style="81" bestFit="1" customWidth="1"/>
    <col min="14" max="14" width="10" style="81" bestFit="1" customWidth="1"/>
    <col min="15" max="15" width="9.625" style="81" bestFit="1" customWidth="1"/>
    <col min="16" max="16" width="10.375" style="81" bestFit="1" customWidth="1"/>
    <col min="17" max="17" width="6.5" style="81" bestFit="1" customWidth="1"/>
    <col min="18" max="18" width="6" style="81" customWidth="1"/>
    <col min="19" max="19" width="8.5" style="81" customWidth="1"/>
    <col min="20" max="20" width="4.125" style="59" customWidth="1"/>
    <col min="21" max="21" width="4.375" style="81" customWidth="1"/>
    <col min="22" max="22" width="6.5" style="82" customWidth="1"/>
    <col min="23" max="23" width="6.5" style="81" customWidth="1"/>
    <col min="24" max="24" width="4.875" style="81" bestFit="1" customWidth="1"/>
    <col min="25" max="25" width="7.5" style="81" bestFit="1" customWidth="1"/>
    <col min="26" max="26" width="12.5" style="81" bestFit="1" customWidth="1"/>
    <col min="27" max="27" width="9.625" style="81" customWidth="1"/>
    <col min="28" max="28" width="5.125" style="59" bestFit="1" customWidth="1"/>
    <col min="29" max="29" width="7.5" style="81" bestFit="1" customWidth="1"/>
    <col min="30" max="16384" width="11.5" style="81"/>
  </cols>
  <sheetData>
    <row r="1" spans="1:28" customFormat="1" x14ac:dyDescent="0.25">
      <c r="T1" s="51"/>
      <c r="V1" s="52"/>
      <c r="AB1" s="51"/>
    </row>
    <row r="2" spans="1:28" s="53" customFormat="1" ht="60.95" customHeight="1" x14ac:dyDescent="0.25">
      <c r="A2" t="s">
        <v>0</v>
      </c>
      <c r="B2" s="3" t="s">
        <v>103</v>
      </c>
      <c r="C2" s="41" t="s">
        <v>107</v>
      </c>
      <c r="D2" s="41" t="s">
        <v>104</v>
      </c>
      <c r="E2" s="41" t="s">
        <v>108</v>
      </c>
      <c r="F2" s="41" t="s">
        <v>105</v>
      </c>
      <c r="G2" s="41" t="s">
        <v>106</v>
      </c>
      <c r="H2" s="41" t="s">
        <v>109</v>
      </c>
      <c r="I2" s="41" t="s">
        <v>110</v>
      </c>
      <c r="J2" s="41"/>
      <c r="L2" s="53" t="s">
        <v>111</v>
      </c>
      <c r="R2" s="53">
        <f>SLOPE(E4:E63,D4:D63)</f>
        <v>0.87136355658410225</v>
      </c>
      <c r="T2" s="59"/>
      <c r="V2" s="55"/>
      <c r="AB2" s="59"/>
    </row>
    <row r="3" spans="1:28" s="53" customFormat="1" x14ac:dyDescent="0.25">
      <c r="A3" s="40">
        <v>43435</v>
      </c>
      <c r="B3" s="3">
        <v>102.37151299999999</v>
      </c>
      <c r="C3" s="41"/>
      <c r="D3" s="41"/>
      <c r="E3" s="41"/>
      <c r="F3" s="41"/>
      <c r="G3" s="41"/>
      <c r="H3" s="41">
        <v>1</v>
      </c>
      <c r="I3" s="41">
        <v>1</v>
      </c>
      <c r="J3" s="41"/>
      <c r="T3" s="59"/>
      <c r="V3" s="55"/>
      <c r="AB3" s="59"/>
    </row>
    <row r="4" spans="1:28" s="53" customFormat="1" x14ac:dyDescent="0.25">
      <c r="A4" s="40">
        <v>43466</v>
      </c>
      <c r="B4" s="3">
        <v>110.22547900000001</v>
      </c>
      <c r="C4" s="3">
        <f>100*(B4/B3-1)</f>
        <v>7.672022977720383</v>
      </c>
      <c r="D4" s="3">
        <f>C4-'Fama-French '!E2</f>
        <v>7.462022977720383</v>
      </c>
      <c r="E4" s="3">
        <f>'FF3 Regression'!J5</f>
        <v>5.5703646368767012</v>
      </c>
      <c r="F4" s="3">
        <f>E4+'Fama-French '!E2</f>
        <v>5.7803646368767012</v>
      </c>
      <c r="G4" s="3">
        <f>(1-$R$2)*'Fama-French '!E2+$R$2*C4</f>
        <v>6.7121348811787254</v>
      </c>
      <c r="H4" s="3">
        <f>H3*(1+G4/100)</f>
        <v>1.0671213488117872</v>
      </c>
      <c r="I4" s="3">
        <f>I3*(1+F4/100)</f>
        <v>1.057803646368767</v>
      </c>
      <c r="J4" s="3"/>
      <c r="T4" s="59"/>
      <c r="V4" s="55"/>
      <c r="AB4" s="59"/>
    </row>
    <row r="5" spans="1:28" s="53" customFormat="1" x14ac:dyDescent="0.25">
      <c r="A5" s="40">
        <v>43497</v>
      </c>
      <c r="B5" s="3">
        <v>113.501587</v>
      </c>
      <c r="C5" s="3">
        <f t="shared" ref="C5:C63" si="0">100*(B5/B4-1)</f>
        <v>2.9721875828727429</v>
      </c>
      <c r="D5" s="3">
        <f>C5-'Fama-French '!E3</f>
        <v>2.7921875828727427</v>
      </c>
      <c r="E5" s="3">
        <f>'FF3 Regression'!J6</f>
        <v>3.9207602411159366</v>
      </c>
      <c r="F5" s="3">
        <f>E5+'Fama-French '!E3</f>
        <v>4.1007602411159363</v>
      </c>
      <c r="G5" s="3">
        <f>(1-$R$2)*'Fama-French '!E3+$R$2*C5</f>
        <v>2.613010502861961</v>
      </c>
      <c r="H5" s="3">
        <f t="shared" ref="H5:H63" si="1">H4*(1+G5/100)</f>
        <v>1.0950053417345214</v>
      </c>
      <c r="I5" s="3">
        <f t="shared" ref="I5:I63" si="2">I4*(1+F5/100)</f>
        <v>1.101181637728132</v>
      </c>
      <c r="J5" s="3"/>
      <c r="T5" s="59"/>
      <c r="V5" s="55"/>
      <c r="AB5" s="59"/>
    </row>
    <row r="6" spans="1:28" s="53" customFormat="1" x14ac:dyDescent="0.25">
      <c r="A6" s="40">
        <v>43525</v>
      </c>
      <c r="B6" s="3">
        <v>115.61492200000001</v>
      </c>
      <c r="C6" s="3">
        <f t="shared" si="0"/>
        <v>1.8619431286013732</v>
      </c>
      <c r="D6" s="3">
        <f>C6-'Fama-French '!E4</f>
        <v>1.6719431286013733</v>
      </c>
      <c r="E6" s="3">
        <f>'FF3 Regression'!J7</f>
        <v>2.584236624348935</v>
      </c>
      <c r="F6" s="3">
        <f>E6+'Fama-French '!E4</f>
        <v>2.7742366243489349</v>
      </c>
      <c r="G6" s="3">
        <f>(1-$R$2)*'Fama-French '!E4+$R$2*C6</f>
        <v>1.6468703109444438</v>
      </c>
      <c r="H6" s="3">
        <f t="shared" si="1"/>
        <v>1.1130386596108028</v>
      </c>
      <c r="I6" s="3">
        <f t="shared" si="2"/>
        <v>1.1317310220225911</v>
      </c>
      <c r="J6" s="3"/>
      <c r="T6" s="59"/>
      <c r="V6" s="55"/>
      <c r="AB6" s="59"/>
    </row>
    <row r="7" spans="1:28" s="53" customFormat="1" x14ac:dyDescent="0.25">
      <c r="A7" s="40">
        <v>43556</v>
      </c>
      <c r="B7" s="3">
        <v>121.228233</v>
      </c>
      <c r="C7" s="3">
        <f t="shared" si="0"/>
        <v>4.8551786420787391</v>
      </c>
      <c r="D7" s="3">
        <f>C7-'Fama-French '!E5</f>
        <v>4.6451786420787391</v>
      </c>
      <c r="E7" s="3">
        <f>'FF3 Regression'!J8</f>
        <v>4.7792657634007538</v>
      </c>
      <c r="F7" s="3">
        <f>E7+'Fama-French '!E5</f>
        <v>4.9892657634007538</v>
      </c>
      <c r="G7" s="3">
        <f>(1-$R$2)*'Fama-French '!E5+$R$2*C7</f>
        <v>4.2576393825302405</v>
      </c>
      <c r="H7" s="3">
        <f t="shared" si="1"/>
        <v>1.1604278319251791</v>
      </c>
      <c r="I7" s="3">
        <f t="shared" si="2"/>
        <v>1.1881960904381497</v>
      </c>
      <c r="J7" s="3"/>
      <c r="T7" s="59"/>
      <c r="V7" s="55"/>
      <c r="AB7" s="59"/>
    </row>
    <row r="8" spans="1:28" s="53" customFormat="1" x14ac:dyDescent="0.25">
      <c r="A8" s="40">
        <v>43586</v>
      </c>
      <c r="B8" s="3">
        <v>113.162437</v>
      </c>
      <c r="C8" s="3">
        <f t="shared" si="0"/>
        <v>-6.6533973154586867</v>
      </c>
      <c r="D8" s="3">
        <f>C8-'Fama-French '!E6</f>
        <v>-6.8633973154586867</v>
      </c>
      <c r="E8" s="3">
        <f>'FF3 Regression'!J9</f>
        <v>-6.2143717836992938</v>
      </c>
      <c r="F8" s="3">
        <f>E8+'Fama-French '!E6</f>
        <v>-6.0043717836992938</v>
      </c>
      <c r="G8" s="3">
        <f>(1-$R$2)*'Fama-French '!E6+$R$2*C8</f>
        <v>-5.7705142950478612</v>
      </c>
      <c r="H8" s="3">
        <f t="shared" si="1"/>
        <v>1.0934651780002227</v>
      </c>
      <c r="I8" s="3">
        <f t="shared" si="2"/>
        <v>1.1168523796488632</v>
      </c>
      <c r="J8" s="3"/>
      <c r="T8" s="59"/>
      <c r="V8" s="55"/>
      <c r="AB8" s="59"/>
    </row>
    <row r="9" spans="1:28" s="53" customFormat="1" x14ac:dyDescent="0.25">
      <c r="A9" s="40">
        <v>43617</v>
      </c>
      <c r="B9" s="3">
        <v>120.14353199999999</v>
      </c>
      <c r="C9" s="3">
        <f t="shared" si="0"/>
        <v>6.169092134344889</v>
      </c>
      <c r="D9" s="3">
        <f>C9-'Fama-French '!E7</f>
        <v>5.9890921343448893</v>
      </c>
      <c r="E9" s="3">
        <f>'FF3 Regression'!J10</f>
        <v>7.0595677495309754</v>
      </c>
      <c r="F9" s="3">
        <f>E9+'Fama-French '!E7</f>
        <v>7.2395677495309751</v>
      </c>
      <c r="G9" s="3">
        <f>(1-$R$2)*'Fama-French '!E7+$R$2*C9</f>
        <v>5.3986766228926344</v>
      </c>
      <c r="H9" s="3">
        <f t="shared" si="1"/>
        <v>1.1524978269443922</v>
      </c>
      <c r="I9" s="3">
        <f t="shared" si="2"/>
        <v>1.1977076643357916</v>
      </c>
      <c r="J9" s="3"/>
      <c r="T9" s="59"/>
      <c r="V9" s="55"/>
      <c r="AB9" s="59"/>
    </row>
    <row r="10" spans="1:28" s="53" customFormat="1" x14ac:dyDescent="0.25">
      <c r="A10" s="40">
        <v>43647</v>
      </c>
      <c r="B10" s="3">
        <v>122.923203</v>
      </c>
      <c r="C10" s="3">
        <f t="shared" si="0"/>
        <v>2.3136251729306556</v>
      </c>
      <c r="D10" s="3">
        <f>C10-'Fama-French '!E8</f>
        <v>2.1236251729306557</v>
      </c>
      <c r="E10" s="3">
        <f>'FF3 Regression'!J11</f>
        <v>2.7393688828721653E-2</v>
      </c>
      <c r="F10" s="3">
        <f>E10+'Fama-French '!E8</f>
        <v>0.21739368882872165</v>
      </c>
      <c r="G10" s="3">
        <f>(1-$R$2)*'Fama-French '!E8+$R$2*C10</f>
        <v>2.0404495835363852</v>
      </c>
      <c r="H10" s="3">
        <f t="shared" si="1"/>
        <v>1.1760139640545448</v>
      </c>
      <c r="I10" s="3">
        <f t="shared" si="2"/>
        <v>1.2003114052086754</v>
      </c>
      <c r="J10" s="3"/>
      <c r="T10" s="59"/>
      <c r="V10" s="55"/>
      <c r="AB10" s="59"/>
    </row>
    <row r="11" spans="1:28" s="53" customFormat="1" x14ac:dyDescent="0.25">
      <c r="A11" s="40">
        <v>43678</v>
      </c>
      <c r="B11" s="3">
        <v>120.86095400000001</v>
      </c>
      <c r="C11" s="3">
        <f t="shared" si="0"/>
        <v>-1.6776726847900214</v>
      </c>
      <c r="D11" s="3">
        <f>C11-'Fama-French '!E9</f>
        <v>-1.8376726847900213</v>
      </c>
      <c r="E11" s="3">
        <f>'FF3 Regression'!J12</f>
        <v>-0.95229373072831069</v>
      </c>
      <c r="F11" s="3">
        <f>E11+'Fama-French '!E9</f>
        <v>-0.79229373072831066</v>
      </c>
      <c r="G11" s="3">
        <f>(1-$R$2)*'Fama-French '!E9+$R$2*C11</f>
        <v>-1.441281006456089</v>
      </c>
      <c r="H11" s="3">
        <f t="shared" si="1"/>
        <v>1.1590642981573553</v>
      </c>
      <c r="I11" s="3">
        <f t="shared" si="2"/>
        <v>1.1908014131959901</v>
      </c>
      <c r="J11" s="3"/>
      <c r="T11" s="59"/>
      <c r="V11" s="55"/>
      <c r="AB11" s="59"/>
    </row>
    <row r="12" spans="1:28" s="53" customFormat="1" x14ac:dyDescent="0.25">
      <c r="A12" s="40">
        <v>43709</v>
      </c>
      <c r="B12" s="3">
        <v>122.699234</v>
      </c>
      <c r="C12" s="3">
        <f t="shared" si="0"/>
        <v>1.5209874977488491</v>
      </c>
      <c r="D12" s="3">
        <f>C12-'Fama-French '!E10</f>
        <v>1.3409874977488492</v>
      </c>
      <c r="E12" s="3">
        <f>'FF3 Regression'!J13</f>
        <v>1.4113598039821593</v>
      </c>
      <c r="F12" s="3">
        <f>E12+'Fama-French '!E10</f>
        <v>1.5913598039821593</v>
      </c>
      <c r="G12" s="3">
        <f>(1-$R$2)*'Fama-French '!E10+$R$2*C12</f>
        <v>1.3484876353732531</v>
      </c>
      <c r="H12" s="3">
        <f t="shared" si="1"/>
        <v>1.1746941369040331</v>
      </c>
      <c r="I12" s="3">
        <f t="shared" si="2"/>
        <v>1.2097513482308424</v>
      </c>
      <c r="J12" s="3"/>
      <c r="T12" s="59"/>
      <c r="V12" s="55"/>
      <c r="AB12" s="59"/>
    </row>
    <row r="13" spans="1:28" s="53" customFormat="1" x14ac:dyDescent="0.25">
      <c r="A13" s="40">
        <v>43739</v>
      </c>
      <c r="B13" s="3">
        <v>126.72575399999999</v>
      </c>
      <c r="C13" s="3">
        <f t="shared" si="0"/>
        <v>3.2816178787228534</v>
      </c>
      <c r="D13" s="3">
        <f>C13-'Fama-French '!E11</f>
        <v>3.1216178787228532</v>
      </c>
      <c r="E13" s="3">
        <f>'FF3 Regression'!J14</f>
        <v>2.140450150982065</v>
      </c>
      <c r="F13" s="3">
        <f>E13+'Fama-French '!E11</f>
        <v>2.3004501509820652</v>
      </c>
      <c r="G13" s="3">
        <f>(1-$R$2)*'Fama-French '!E11+$R$2*C13</f>
        <v>2.8800640571004661</v>
      </c>
      <c r="H13" s="3">
        <f t="shared" si="1"/>
        <v>1.2085260805218727</v>
      </c>
      <c r="I13" s="3">
        <f t="shared" si="2"/>
        <v>1.2375810749477263</v>
      </c>
      <c r="J13" s="3"/>
      <c r="T13" s="59"/>
      <c r="V13" s="55"/>
      <c r="AB13" s="59"/>
    </row>
    <row r="14" spans="1:28" s="53" customFormat="1" x14ac:dyDescent="0.25">
      <c r="A14" s="40">
        <v>43770</v>
      </c>
      <c r="B14" s="3">
        <v>131.57313500000001</v>
      </c>
      <c r="C14" s="3">
        <f t="shared" si="0"/>
        <v>3.825095410361512</v>
      </c>
      <c r="D14" s="3">
        <f>C14-'Fama-French '!E12</f>
        <v>3.7050954103615119</v>
      </c>
      <c r="E14" s="3">
        <f>'FF3 Regression'!J15</f>
        <v>3.8820352082610285</v>
      </c>
      <c r="F14" s="3">
        <f>E14+'Fama-French '!E12</f>
        <v>4.0020352082610282</v>
      </c>
      <c r="G14" s="3">
        <f>(1-$R$2)*'Fama-French '!E12+$R$2*C14</f>
        <v>3.3484851142560408</v>
      </c>
      <c r="H14" s="3">
        <f t="shared" si="1"/>
        <v>1.2489933964300497</v>
      </c>
      <c r="I14" s="3">
        <f t="shared" si="2"/>
        <v>1.2871095052979096</v>
      </c>
      <c r="J14" s="3"/>
      <c r="T14" s="59"/>
      <c r="V14" s="55"/>
      <c r="AB14" s="59"/>
    </row>
    <row r="15" spans="1:28" s="53" customFormat="1" x14ac:dyDescent="0.25">
      <c r="A15" s="40">
        <v>43800</v>
      </c>
      <c r="B15" s="3">
        <v>135.098511</v>
      </c>
      <c r="C15" s="3">
        <f t="shared" si="0"/>
        <v>2.679404119997586</v>
      </c>
      <c r="D15" s="3">
        <f>C15-'Fama-French '!E13</f>
        <v>2.5394041199975859</v>
      </c>
      <c r="E15" s="3">
        <f>'FF3 Regression'!J16</f>
        <v>3.7671988818347479</v>
      </c>
      <c r="F15" s="3">
        <f>E15+'Fama-French '!E13</f>
        <v>3.9071988818347481</v>
      </c>
      <c r="G15" s="3">
        <f>(1-$R$2)*'Fama-French '!E13+$R$2*C15</f>
        <v>2.3527442056054189</v>
      </c>
      <c r="H15" s="3">
        <f t="shared" si="1"/>
        <v>1.278379016192952</v>
      </c>
      <c r="I15" s="3">
        <f t="shared" si="2"/>
        <v>1.3373994334968984</v>
      </c>
      <c r="J15" s="3"/>
      <c r="T15" s="59"/>
      <c r="V15" s="55"/>
      <c r="AB15" s="59"/>
    </row>
    <row r="16" spans="1:28" s="53" customFormat="1" x14ac:dyDescent="0.25">
      <c r="A16" s="40">
        <v>43831</v>
      </c>
      <c r="B16" s="3">
        <v>136.29020700000001</v>
      </c>
      <c r="C16" s="3">
        <f t="shared" si="0"/>
        <v>0.88209410390911458</v>
      </c>
      <c r="D16" s="3">
        <f>C16-'Fama-French '!E14</f>
        <v>0.75209410390911458</v>
      </c>
      <c r="E16" s="3">
        <f>'FF3 Regression'!J17</f>
        <v>2.3123117978541581</v>
      </c>
      <c r="F16" s="3">
        <f>E16+'Fama-French '!E14</f>
        <v>2.442311797854158</v>
      </c>
      <c r="G16" s="3">
        <f>(1-$R$2)*'Fama-French '!E14+$R$2*C16</f>
        <v>0.78534739326817948</v>
      </c>
      <c r="H16" s="3">
        <f t="shared" si="1"/>
        <v>1.2884187324727108</v>
      </c>
      <c r="I16" s="3">
        <f t="shared" si="2"/>
        <v>1.3700628976456279</v>
      </c>
      <c r="J16" s="3"/>
      <c r="T16" s="59"/>
      <c r="V16" s="55"/>
      <c r="AB16" s="59"/>
    </row>
    <row r="17" spans="1:28" s="53" customFormat="1" x14ac:dyDescent="0.25">
      <c r="A17" s="40">
        <v>43862</v>
      </c>
      <c r="B17" s="3">
        <v>125.14701100000001</v>
      </c>
      <c r="C17" s="3">
        <f t="shared" si="0"/>
        <v>-8.1760797384363819</v>
      </c>
      <c r="D17" s="3">
        <f>C17-'Fama-French '!E15</f>
        <v>-8.2960797384363811</v>
      </c>
      <c r="E17" s="3">
        <f>'FF3 Regression'!J18</f>
        <v>-7.5928172766391802</v>
      </c>
      <c r="F17" s="3">
        <f>E17+'Fama-French '!E15</f>
        <v>-7.4728172766391801</v>
      </c>
      <c r="G17" s="3">
        <f>(1-$R$2)*'Fama-French '!E15+$R$2*C17</f>
        <v>-7.1089015465892347</v>
      </c>
      <c r="H17" s="3">
        <f t="shared" si="1"/>
        <v>1.1968263132734129</v>
      </c>
      <c r="I17" s="3">
        <f t="shared" si="2"/>
        <v>1.267680600729542</v>
      </c>
      <c r="J17" s="3"/>
      <c r="T17" s="59"/>
      <c r="V17" s="55"/>
      <c r="AB17" s="59"/>
    </row>
    <row r="18" spans="1:28" s="53" customFormat="1" x14ac:dyDescent="0.25">
      <c r="A18" s="40">
        <v>43891</v>
      </c>
      <c r="B18" s="3">
        <v>111.73369599999999</v>
      </c>
      <c r="C18" s="3">
        <f t="shared" si="0"/>
        <v>-10.718046633970356</v>
      </c>
      <c r="D18" s="3">
        <f>C18-'Fama-French '!E16</f>
        <v>-10.848046633970357</v>
      </c>
      <c r="E18" s="3">
        <f>'FF3 Regression'!J19</f>
        <v>-8.6840065319738109</v>
      </c>
      <c r="F18" s="3">
        <f>E18+'Fama-French '!E16</f>
        <v>-8.5540065319738101</v>
      </c>
      <c r="G18" s="3">
        <f>(1-$R$2)*'Fama-French '!E16+$R$2*C18</f>
        <v>-9.3225924969666085</v>
      </c>
      <c r="H18" s="3">
        <f t="shared" si="1"/>
        <v>1.0852510731904637</v>
      </c>
      <c r="I18" s="3">
        <f t="shared" si="2"/>
        <v>1.1592431193385722</v>
      </c>
      <c r="J18" s="3"/>
      <c r="T18" s="59"/>
      <c r="V18" s="55"/>
      <c r="AB18" s="59"/>
    </row>
    <row r="19" spans="1:28" s="53" customFormat="1" x14ac:dyDescent="0.25">
      <c r="A19" s="40">
        <v>43922</v>
      </c>
      <c r="B19" s="3">
        <v>126.43644</v>
      </c>
      <c r="C19" s="3">
        <f t="shared" si="0"/>
        <v>13.158737718655633</v>
      </c>
      <c r="D19" s="3">
        <f>C19-'Fama-French '!E17</f>
        <v>13.158737718655633</v>
      </c>
      <c r="E19" s="3">
        <f>'FF3 Regression'!J20</f>
        <v>12.959781712396932</v>
      </c>
      <c r="F19" s="3">
        <f>E19+'Fama-French '!E17</f>
        <v>12.959781712396932</v>
      </c>
      <c r="G19" s="3">
        <f>(1-$R$2)*'Fama-French '!E17+$R$2*C19</f>
        <v>11.466044498685148</v>
      </c>
      <c r="H19" s="3">
        <f t="shared" si="1"/>
        <v>1.2096864441649404</v>
      </c>
      <c r="I19" s="3">
        <f t="shared" si="2"/>
        <v>1.3094784971208322</v>
      </c>
      <c r="J19" s="3"/>
      <c r="T19" s="59"/>
      <c r="V19" s="55"/>
      <c r="AB19" s="59"/>
    </row>
    <row r="20" spans="1:28" s="53" customFormat="1" x14ac:dyDescent="0.25">
      <c r="A20" s="40">
        <v>43952</v>
      </c>
      <c r="B20" s="3">
        <v>131.729904</v>
      </c>
      <c r="C20" s="3">
        <f t="shared" si="0"/>
        <v>4.1866601115944091</v>
      </c>
      <c r="D20" s="3">
        <f>C20-'Fama-French '!E18</f>
        <v>4.1766601115944093</v>
      </c>
      <c r="E20" s="3">
        <f>'FF3 Regression'!J21</f>
        <v>3.6668989398806002</v>
      </c>
      <c r="F20" s="3">
        <f>E20+'Fama-French '!E18</f>
        <v>3.6768989398806</v>
      </c>
      <c r="G20" s="3">
        <f>(1-$R$2)*'Fama-French '!E18+$R$2*C20</f>
        <v>3.649389409481858</v>
      </c>
      <c r="H20" s="3">
        <f t="shared" si="1"/>
        <v>1.2538326131462334</v>
      </c>
      <c r="I20" s="3">
        <f t="shared" si="2"/>
        <v>1.3576266980994323</v>
      </c>
      <c r="J20" s="3"/>
      <c r="T20" s="59"/>
      <c r="V20" s="55"/>
      <c r="AB20" s="59"/>
    </row>
    <row r="21" spans="1:28" s="53" customFormat="1" x14ac:dyDescent="0.25">
      <c r="A21" s="40">
        <v>43983</v>
      </c>
      <c r="B21" s="3">
        <v>134.864273</v>
      </c>
      <c r="C21" s="3">
        <f t="shared" si="0"/>
        <v>2.3793906355537908</v>
      </c>
      <c r="D21" s="3">
        <f>C21-'Fama-French '!E19</f>
        <v>2.369390635553791</v>
      </c>
      <c r="E21" s="3">
        <f>'FF3 Regression'!J22</f>
        <v>2.922791571934976</v>
      </c>
      <c r="F21" s="3">
        <f>E21+'Fama-French '!E19</f>
        <v>2.9327915719349757</v>
      </c>
      <c r="G21" s="3">
        <f>(1-$R$2)*'Fama-French '!E19+$R$2*C21</f>
        <v>2.0746006511332178</v>
      </c>
      <c r="H21" s="3">
        <f t="shared" si="1"/>
        <v>1.2798446327026856</v>
      </c>
      <c r="I21" s="3">
        <f t="shared" si="2"/>
        <v>1.3974430594796314</v>
      </c>
      <c r="J21" s="3"/>
      <c r="T21" s="59"/>
      <c r="V21" s="55"/>
      <c r="AB21" s="59"/>
    </row>
    <row r="22" spans="1:28" s="53" customFormat="1" x14ac:dyDescent="0.25">
      <c r="A22" s="40">
        <v>44013</v>
      </c>
      <c r="B22" s="3">
        <v>143.07017500000001</v>
      </c>
      <c r="C22" s="3">
        <f t="shared" si="0"/>
        <v>6.0845632556815188</v>
      </c>
      <c r="D22" s="3">
        <f>C22-'Fama-French '!E20</f>
        <v>6.074563255681519</v>
      </c>
      <c r="E22" s="3">
        <f>'FF3 Regression'!J23</f>
        <v>4.4567588082144498</v>
      </c>
      <c r="F22" s="3">
        <f>E22+'Fama-French '!E20</f>
        <v>4.4667588082144496</v>
      </c>
      <c r="G22" s="3">
        <f>(1-$R$2)*'Fama-French '!E20+$R$2*C22</f>
        <v>5.303153043165751</v>
      </c>
      <c r="H22" s="3">
        <f t="shared" si="1"/>
        <v>1.3477167522896516</v>
      </c>
      <c r="I22" s="3">
        <f t="shared" si="2"/>
        <v>1.4598634704287194</v>
      </c>
      <c r="J22" s="3"/>
      <c r="T22" s="59"/>
      <c r="V22" s="55"/>
      <c r="AB22" s="59"/>
    </row>
    <row r="23" spans="1:28" s="53" customFormat="1" x14ac:dyDescent="0.25">
      <c r="A23" s="40">
        <v>44044</v>
      </c>
      <c r="B23" s="3">
        <v>155.827652</v>
      </c>
      <c r="C23" s="3">
        <f t="shared" si="0"/>
        <v>8.9169367410083744</v>
      </c>
      <c r="D23" s="3">
        <f>C23-'Fama-French '!E21</f>
        <v>8.9069367410083746</v>
      </c>
      <c r="E23" s="3">
        <f>'FF3 Regression'!J24</f>
        <v>7.4947261304656134</v>
      </c>
      <c r="F23" s="3">
        <f>E23+'Fama-French '!E21</f>
        <v>7.5047261304656132</v>
      </c>
      <c r="G23" s="3">
        <f>(1-$R$2)*'Fama-French '!E21+$R$2*C23</f>
        <v>7.7711800769146695</v>
      </c>
      <c r="H23" s="3">
        <f t="shared" si="1"/>
        <v>1.4524502480368264</v>
      </c>
      <c r="I23" s="3">
        <f t="shared" si="2"/>
        <v>1.5694222257631059</v>
      </c>
      <c r="J23" s="3"/>
      <c r="T23" s="59"/>
      <c r="V23" s="55"/>
      <c r="AB23" s="59"/>
    </row>
    <row r="24" spans="1:28" s="53" customFormat="1" x14ac:dyDescent="0.25">
      <c r="A24" s="40">
        <v>44075</v>
      </c>
      <c r="B24" s="3">
        <v>148.041946</v>
      </c>
      <c r="C24" s="3">
        <f t="shared" si="0"/>
        <v>-4.9963571292212077</v>
      </c>
      <c r="D24" s="3">
        <f>C24-'Fama-French '!E22</f>
        <v>-5.0063571292212075</v>
      </c>
      <c r="E24" s="3">
        <f>'FF3 Regression'!J25</f>
        <v>-3.8289656198941908</v>
      </c>
      <c r="F24" s="3">
        <f>E24+'Fama-French '!E22</f>
        <v>-3.818965619894191</v>
      </c>
      <c r="G24" s="3">
        <f>(1-$R$2)*'Fama-French '!E22+$R$2*C24</f>
        <v>-4.3523571536483674</v>
      </c>
      <c r="H24" s="3">
        <f t="shared" si="1"/>
        <v>1.3892344257632121</v>
      </c>
      <c r="I24" s="3">
        <f t="shared" si="2"/>
        <v>1.5094865305302347</v>
      </c>
      <c r="J24" s="3"/>
      <c r="T24" s="59"/>
      <c r="V24" s="55"/>
      <c r="AB24" s="59"/>
    </row>
    <row r="25" spans="1:28" s="53" customFormat="1" x14ac:dyDescent="0.25">
      <c r="A25" s="40">
        <v>44105</v>
      </c>
      <c r="B25" s="3">
        <v>143.92659</v>
      </c>
      <c r="C25" s="3">
        <f t="shared" si="0"/>
        <v>-2.7798580815737162</v>
      </c>
      <c r="D25" s="3">
        <f>C25-'Fama-French '!E23</f>
        <v>-2.789858081573716</v>
      </c>
      <c r="E25" s="3">
        <f>'FF3 Regression'!J26</f>
        <v>-3.2734222950085194</v>
      </c>
      <c r="F25" s="3">
        <f>E25+'Fama-French '!E23</f>
        <v>-3.2634222950085197</v>
      </c>
      <c r="G25" s="3">
        <f>(1-$R$2)*'Fama-French '!E23+$R$2*C25</f>
        <v>-2.4209806603249735</v>
      </c>
      <c r="H25" s="3">
        <f t="shared" si="1"/>
        <v>1.3556013289889079</v>
      </c>
      <c r="I25" s="3">
        <f t="shared" si="2"/>
        <v>1.4602256105527605</v>
      </c>
      <c r="J25" s="3"/>
      <c r="L25" s="53" t="s">
        <v>124</v>
      </c>
      <c r="M25" s="56" t="s">
        <v>126</v>
      </c>
      <c r="N25" s="53" t="s">
        <v>127</v>
      </c>
      <c r="O25" s="55" t="s">
        <v>118</v>
      </c>
      <c r="T25" s="59"/>
      <c r="V25" s="55"/>
      <c r="AB25" s="59"/>
    </row>
    <row r="26" spans="1:28" s="53" customFormat="1" x14ac:dyDescent="0.25">
      <c r="A26" s="40">
        <v>44136</v>
      </c>
      <c r="B26" s="3">
        <v>158.59797699999999</v>
      </c>
      <c r="C26" s="3">
        <f t="shared" si="0"/>
        <v>10.19365983728231</v>
      </c>
      <c r="D26" s="3">
        <f>C26-'Fama-French '!E24</f>
        <v>10.18365983728231</v>
      </c>
      <c r="E26" s="3">
        <f>'FF3 Regression'!J27</f>
        <v>9.3059907652334228</v>
      </c>
      <c r="F26" s="3">
        <f>E26+'Fama-French '!E24</f>
        <v>9.3159907652334226</v>
      </c>
      <c r="G26" s="3">
        <f>(1-$R$2)*'Fama-French '!E24+$R$2*C26</f>
        <v>8.883670054856994</v>
      </c>
      <c r="H26" s="3">
        <f t="shared" si="1"/>
        <v>1.4760284783155391</v>
      </c>
      <c r="I26" s="3">
        <f t="shared" si="2"/>
        <v>1.5962600935834288</v>
      </c>
      <c r="J26" s="3"/>
      <c r="K26" s="65" t="s">
        <v>1</v>
      </c>
      <c r="L26" s="56">
        <v>425.2</v>
      </c>
      <c r="M26" s="57">
        <f t="shared" ref="M26:M31" si="3">1000000*Q37</f>
        <v>235884.01009402727</v>
      </c>
      <c r="N26" s="53">
        <f>M26/L26</f>
        <v>554.7601366275336</v>
      </c>
      <c r="O26" s="58">
        <f t="shared" ref="O26:O31" si="4">N26/$N$32</f>
        <v>0.1747810844965805</v>
      </c>
      <c r="Q26" s="53">
        <f>M26/$P$30</f>
        <v>0.50876594286341104</v>
      </c>
      <c r="T26" s="59"/>
      <c r="V26" s="55"/>
      <c r="AB26" s="59"/>
    </row>
    <row r="27" spans="1:28" s="53" customFormat="1" x14ac:dyDescent="0.25">
      <c r="A27" s="40">
        <v>44166</v>
      </c>
      <c r="B27" s="3">
        <v>163.838425</v>
      </c>
      <c r="C27" s="3">
        <f t="shared" si="0"/>
        <v>3.3042338238652436</v>
      </c>
      <c r="D27" s="3">
        <f>C27-'Fama-French '!E25</f>
        <v>3.2942338238652438</v>
      </c>
      <c r="E27" s="3">
        <f>'FF3 Regression'!J28</f>
        <v>5.0899920466074766</v>
      </c>
      <c r="F27" s="3">
        <f>E27+'Fama-French '!E25</f>
        <v>5.0999920466074764</v>
      </c>
      <c r="G27" s="3">
        <f>(1-$R$2)*'Fama-French '!E25+$R$2*C27</f>
        <v>2.8804753009828659</v>
      </c>
      <c r="H27" s="3">
        <f t="shared" si="1"/>
        <v>1.5185451140688915</v>
      </c>
      <c r="I27" s="3">
        <f t="shared" si="2"/>
        <v>1.6776692313993526</v>
      </c>
      <c r="J27" s="3"/>
      <c r="K27" s="65" t="s">
        <v>2</v>
      </c>
      <c r="L27" s="56">
        <v>151.94999999999999</v>
      </c>
      <c r="M27" s="57">
        <f t="shared" si="3"/>
        <v>148283.94216875688</v>
      </c>
      <c r="N27" s="53">
        <f t="shared" ref="N27:N31" si="5">M27/L27</f>
        <v>975.87326205170712</v>
      </c>
      <c r="O27" s="58">
        <f t="shared" si="4"/>
        <v>0.3074557377346851</v>
      </c>
      <c r="Q27" s="53">
        <f t="shared" ref="Q27:Q30" si="6">M27/$P$30</f>
        <v>0.3198259162158501</v>
      </c>
      <c r="S27" s="105" t="s">
        <v>145</v>
      </c>
      <c r="T27" s="105"/>
      <c r="U27" s="105"/>
      <c r="V27" s="105"/>
      <c r="AB27" s="59"/>
    </row>
    <row r="28" spans="1:28" s="53" customFormat="1" x14ac:dyDescent="0.25">
      <c r="A28" s="40">
        <v>44197</v>
      </c>
      <c r="B28" s="3">
        <v>163.68308999999999</v>
      </c>
      <c r="C28" s="3">
        <f t="shared" si="0"/>
        <v>-9.4809871371759336E-2</v>
      </c>
      <c r="D28" s="3">
        <f>C28-'Fama-French '!E26</f>
        <v>-0.10480987137175933</v>
      </c>
      <c r="E28" s="3">
        <f>'FF3 Regression'!J29</f>
        <v>1.0501611511479909</v>
      </c>
      <c r="F28" s="3">
        <f>E28+'Fama-French '!E26</f>
        <v>1.0601611511479909</v>
      </c>
      <c r="G28" s="3">
        <f>(1-$R$2)*'Fama-French '!E26+$R$2*C28</f>
        <v>-8.13275022836185E-2</v>
      </c>
      <c r="H28" s="3">
        <f t="shared" si="1"/>
        <v>1.5173101192565692</v>
      </c>
      <c r="I28" s="3">
        <f t="shared" si="2"/>
        <v>1.6954552288354119</v>
      </c>
      <c r="J28" s="3"/>
      <c r="K28" s="65" t="s">
        <v>8</v>
      </c>
      <c r="L28" s="56">
        <v>59.28</v>
      </c>
      <c r="M28" s="57">
        <f t="shared" si="3"/>
        <v>28748.40955039168</v>
      </c>
      <c r="N28" s="53">
        <f t="shared" si="5"/>
        <v>484.95967527651283</v>
      </c>
      <c r="O28" s="58">
        <f t="shared" si="4"/>
        <v>0.15278995801179485</v>
      </c>
      <c r="Q28" s="53">
        <f t="shared" si="6"/>
        <v>6.2005948113643919E-2</v>
      </c>
      <c r="S28" s="65" t="s">
        <v>101</v>
      </c>
      <c r="T28" s="66" t="s">
        <v>102</v>
      </c>
      <c r="U28" s="65" t="s">
        <v>99</v>
      </c>
      <c r="V28" s="67"/>
      <c r="W28" s="65" t="s">
        <v>146</v>
      </c>
      <c r="X28" s="65" t="s">
        <v>147</v>
      </c>
      <c r="AB28" s="59"/>
    </row>
    <row r="29" spans="1:28" s="53" customFormat="1" ht="30" customHeight="1" x14ac:dyDescent="0.25">
      <c r="A29" s="40">
        <v>44228</v>
      </c>
      <c r="B29" s="3">
        <v>165.858734</v>
      </c>
      <c r="C29" s="3">
        <f t="shared" si="0"/>
        <v>1.3291806746805745</v>
      </c>
      <c r="D29" s="3">
        <f>C29-'Fama-French '!E27</f>
        <v>1.3291806746805745</v>
      </c>
      <c r="E29" s="3">
        <f>'FF3 Regression'!J30</f>
        <v>1.0592836645507944</v>
      </c>
      <c r="F29" s="3">
        <f>E29+'Fama-French '!E27</f>
        <v>1.0592836645507944</v>
      </c>
      <c r="G29" s="3">
        <f>(1-$R$2)*'Fama-French '!E27+$R$2*C29</f>
        <v>1.1581996000325221</v>
      </c>
      <c r="H29" s="3">
        <f t="shared" si="1"/>
        <v>1.5348835989890517</v>
      </c>
      <c r="I29" s="3">
        <f t="shared" si="2"/>
        <v>1.7134149091142377</v>
      </c>
      <c r="J29" s="3"/>
      <c r="K29" s="65" t="s">
        <v>3</v>
      </c>
      <c r="L29" s="56">
        <v>41.94</v>
      </c>
      <c r="M29" s="57">
        <f t="shared" si="3"/>
        <v>32372.445835732371</v>
      </c>
      <c r="N29" s="53">
        <f t="shared" si="5"/>
        <v>771.87519875375233</v>
      </c>
      <c r="O29" s="58">
        <f t="shared" si="4"/>
        <v>0.24318471250354562</v>
      </c>
      <c r="Q29" s="53">
        <f t="shared" si="6"/>
        <v>6.9822443334950385E-2</v>
      </c>
      <c r="S29" s="68"/>
      <c r="T29" s="69"/>
      <c r="U29" s="68"/>
      <c r="V29" s="70" t="s">
        <v>115</v>
      </c>
      <c r="W29" s="65" t="s">
        <v>150</v>
      </c>
      <c r="X29" s="71">
        <v>92.52</v>
      </c>
      <c r="AB29" s="59"/>
    </row>
    <row r="30" spans="1:28" s="53" customFormat="1" ht="30" customHeight="1" x14ac:dyDescent="0.25">
      <c r="A30" s="40">
        <v>44256</v>
      </c>
      <c r="B30" s="3">
        <v>172.35704000000001</v>
      </c>
      <c r="C30" s="3">
        <f t="shared" si="0"/>
        <v>3.9179763665626588</v>
      </c>
      <c r="D30" s="3">
        <f>C30-'Fama-French '!E28</f>
        <v>3.9179763665626588</v>
      </c>
      <c r="E30" s="3">
        <f>'FF3 Regression'!J31</f>
        <v>3.1465400170204911</v>
      </c>
      <c r="F30" s="3">
        <f>E30+'Fama-French '!E28</f>
        <v>3.1465400170204911</v>
      </c>
      <c r="G30" s="3">
        <f>(1-$R$2)*'Fama-French '!E28+$R$2*C30</f>
        <v>3.4139818213804967</v>
      </c>
      <c r="H30" s="3">
        <f t="shared" si="1"/>
        <v>1.5872842460378889</v>
      </c>
      <c r="I30" s="3">
        <f t="shared" si="2"/>
        <v>1.7673281948871122</v>
      </c>
      <c r="J30" s="3"/>
      <c r="K30" s="65" t="s">
        <v>113</v>
      </c>
      <c r="L30" s="56">
        <v>64.709999999999994</v>
      </c>
      <c r="M30" s="57">
        <f t="shared" si="3"/>
        <v>18350.73702351364</v>
      </c>
      <c r="N30" s="53">
        <f t="shared" si="5"/>
        <v>283.58425318364459</v>
      </c>
      <c r="O30" s="58">
        <f t="shared" si="4"/>
        <v>8.9345214345976615E-2</v>
      </c>
      <c r="P30" s="53">
        <f>SUM(M26:M30)</f>
        <v>463639.54467242182</v>
      </c>
      <c r="Q30" s="53">
        <f t="shared" si="6"/>
        <v>3.9579749472144578E-2</v>
      </c>
      <c r="S30" s="68"/>
      <c r="T30" s="69"/>
      <c r="U30" s="68"/>
      <c r="V30" s="72" t="s">
        <v>151</v>
      </c>
      <c r="W30" s="65" t="s">
        <v>148</v>
      </c>
      <c r="X30" s="71">
        <v>7.48</v>
      </c>
      <c r="AB30" s="59"/>
    </row>
    <row r="31" spans="1:28" s="53" customFormat="1" ht="30" customHeight="1" x14ac:dyDescent="0.25">
      <c r="A31" s="40">
        <v>44287</v>
      </c>
      <c r="B31" s="3">
        <v>182.585464</v>
      </c>
      <c r="C31" s="3">
        <f t="shared" si="0"/>
        <v>5.9344393475311508</v>
      </c>
      <c r="D31" s="3">
        <f>C31-'Fama-French '!E29</f>
        <v>5.9344393475311508</v>
      </c>
      <c r="E31" s="3">
        <f>'FF3 Regression'!J32</f>
        <v>4.259722263347637</v>
      </c>
      <c r="F31" s="3">
        <f>E31+'Fama-French '!E29</f>
        <v>4.259722263347637</v>
      </c>
      <c r="G31" s="3">
        <f>(1-$R$2)*'Fama-French '!E29+$R$2*C31</f>
        <v>5.1710541761973827</v>
      </c>
      <c r="H31" s="3">
        <f t="shared" si="1"/>
        <v>1.6693635743307544</v>
      </c>
      <c r="I31" s="3">
        <f t="shared" si="2"/>
        <v>1.8426114674711385</v>
      </c>
      <c r="J31" s="3"/>
      <c r="L31" s="56">
        <v>5208.6000000000004</v>
      </c>
      <c r="M31" s="57">
        <f>1000000*Q42</f>
        <v>536360.45532757824</v>
      </c>
      <c r="N31" s="53">
        <f t="shared" si="5"/>
        <v>102.9759350550202</v>
      </c>
      <c r="O31" s="58">
        <f t="shared" si="4"/>
        <v>3.2443292907417223E-2</v>
      </c>
      <c r="Q31" s="53">
        <f>SUM(Q26:Q30)</f>
        <v>1</v>
      </c>
      <c r="S31" s="68"/>
      <c r="T31" s="69"/>
      <c r="U31" s="73"/>
      <c r="V31" s="72" t="s">
        <v>152</v>
      </c>
      <c r="W31" s="65" t="s">
        <v>149</v>
      </c>
      <c r="X31" s="65"/>
      <c r="AB31" s="59"/>
    </row>
    <row r="32" spans="1:28" s="53" customFormat="1" x14ac:dyDescent="0.25">
      <c r="A32" s="40">
        <v>44317</v>
      </c>
      <c r="B32" s="3">
        <v>183.306625</v>
      </c>
      <c r="C32" s="3">
        <f t="shared" si="0"/>
        <v>0.3949717486820381</v>
      </c>
      <c r="D32" s="3">
        <f>C32-'Fama-French '!E30</f>
        <v>0.3949717486820381</v>
      </c>
      <c r="E32" s="3">
        <f>'FF3 Regression'!J33</f>
        <v>0.44524442072901832</v>
      </c>
      <c r="F32" s="3">
        <f>E32+'Fama-French '!E30</f>
        <v>0.44524442072901832</v>
      </c>
      <c r="G32" s="3">
        <f>(1-$R$2)*'Fama-French '!E30+$R$2*C32</f>
        <v>0.34416398768182294</v>
      </c>
      <c r="H32" s="3">
        <f t="shared" si="1"/>
        <v>1.675108922577079</v>
      </c>
      <c r="I32" s="3">
        <f t="shared" si="2"/>
        <v>1.8508155922257667</v>
      </c>
      <c r="J32" s="3"/>
      <c r="M32" s="59"/>
      <c r="N32" s="53">
        <f>SUM(N26:N31)</f>
        <v>3174.028460948171</v>
      </c>
      <c r="O32" s="58">
        <f>SUM(O26:O31)</f>
        <v>0.99999999999999989</v>
      </c>
      <c r="S32" s="65" t="s">
        <v>146</v>
      </c>
      <c r="T32" s="74" t="s">
        <v>147</v>
      </c>
      <c r="V32" s="55"/>
      <c r="AB32" s="59"/>
    </row>
    <row r="33" spans="1:28" s="53" customFormat="1" x14ac:dyDescent="0.25">
      <c r="A33" s="40">
        <v>44348</v>
      </c>
      <c r="B33" s="3">
        <v>188.63348400000001</v>
      </c>
      <c r="C33" s="3">
        <f t="shared" si="0"/>
        <v>2.9059828034038615</v>
      </c>
      <c r="D33" s="3">
        <f>C33-'Fama-French '!E31</f>
        <v>2.9059828034038615</v>
      </c>
      <c r="E33" s="3">
        <f>'FF3 Regression'!J34</f>
        <v>3.147545725534989</v>
      </c>
      <c r="F33" s="3">
        <f>E33+'Fama-French '!E31</f>
        <v>3.147545725534989</v>
      </c>
      <c r="G33" s="3">
        <f>(1-$R$2)*'Fama-French '!E31+$R$2*C33</f>
        <v>2.5321675109462287</v>
      </c>
      <c r="H33" s="3">
        <f t="shared" si="1"/>
        <v>1.7175254864875371</v>
      </c>
      <c r="I33" s="3">
        <f t="shared" si="2"/>
        <v>1.9090708592864041</v>
      </c>
      <c r="J33" s="3"/>
      <c r="S33" s="65" t="s">
        <v>150</v>
      </c>
      <c r="T33" s="71">
        <v>92.52</v>
      </c>
      <c r="V33" s="55"/>
      <c r="AB33" s="59"/>
    </row>
    <row r="34" spans="1:28" s="53" customFormat="1" x14ac:dyDescent="0.25">
      <c r="A34" s="40">
        <v>44378</v>
      </c>
      <c r="B34" s="3">
        <v>193.870148</v>
      </c>
      <c r="C34" s="3">
        <f t="shared" si="0"/>
        <v>2.7761052221248139</v>
      </c>
      <c r="D34" s="3">
        <f>C34-'Fama-French '!E32</f>
        <v>2.7761052221248139</v>
      </c>
      <c r="E34" s="3">
        <f>'FF3 Regression'!J35</f>
        <v>2.8620990644347559</v>
      </c>
      <c r="F34" s="3">
        <f>E34+'Fama-French '!E32</f>
        <v>2.8620990644347559</v>
      </c>
      <c r="G34" s="3">
        <f>(1-$R$2)*'Fama-French '!E32+$R$2*C34</f>
        <v>2.4189969198023769</v>
      </c>
      <c r="H34" s="3">
        <f t="shared" si="1"/>
        <v>1.7590723751024915</v>
      </c>
      <c r="I34" s="3">
        <f t="shared" si="2"/>
        <v>1.9637103584894366</v>
      </c>
      <c r="J34" s="3"/>
      <c r="S34" s="65" t="s">
        <v>148</v>
      </c>
      <c r="T34" s="71">
        <v>7.48</v>
      </c>
      <c r="V34" s="55"/>
      <c r="AB34" s="59"/>
    </row>
    <row r="35" spans="1:28" s="53" customFormat="1" x14ac:dyDescent="0.25">
      <c r="A35" s="40">
        <v>44409</v>
      </c>
      <c r="B35" s="3">
        <v>200.599197</v>
      </c>
      <c r="C35" s="3">
        <f t="shared" si="0"/>
        <v>3.4709051751484754</v>
      </c>
      <c r="D35" s="3">
        <f>C35-'Fama-French '!E33</f>
        <v>3.4709051751484754</v>
      </c>
      <c r="E35" s="3">
        <f>'FF3 Regression'!J36</f>
        <v>3.1436372388890939</v>
      </c>
      <c r="F35" s="3">
        <f>E35+'Fama-French '!E33</f>
        <v>3.1436372388890939</v>
      </c>
      <c r="G35" s="3">
        <f>(1-$R$2)*'Fama-French '!E33+$R$2*C35</f>
        <v>3.0244202779835421</v>
      </c>
      <c r="H35" s="3">
        <f t="shared" si="1"/>
        <v>1.8122741167194982</v>
      </c>
      <c r="I35" s="3">
        <f t="shared" si="2"/>
        <v>2.0254422885828332</v>
      </c>
      <c r="J35" s="3"/>
      <c r="L35" s="60" t="s">
        <v>114</v>
      </c>
      <c r="M35" s="61"/>
      <c r="N35" s="61"/>
      <c r="O35" s="61"/>
      <c r="P35" s="61"/>
      <c r="Q35" s="61"/>
      <c r="S35" s="65" t="s">
        <v>149</v>
      </c>
      <c r="T35" s="75">
        <v>816.5</v>
      </c>
      <c r="V35" s="55"/>
      <c r="AB35" s="59"/>
    </row>
    <row r="36" spans="1:28" s="53" customFormat="1" x14ac:dyDescent="0.25">
      <c r="A36" s="40">
        <v>44440</v>
      </c>
      <c r="B36" s="3">
        <v>190.34172100000001</v>
      </c>
      <c r="C36" s="3">
        <f t="shared" si="0"/>
        <v>-5.1134182755477315</v>
      </c>
      <c r="D36" s="3">
        <f>C36-'Fama-French '!E34</f>
        <v>-5.1134182755477315</v>
      </c>
      <c r="E36" s="3">
        <f>'FF3 Regression'!J37</f>
        <v>-5.1412462683183104</v>
      </c>
      <c r="F36" s="3">
        <f>E36+'Fama-French '!E34</f>
        <v>-5.1412462683183104</v>
      </c>
      <c r="G36" s="3">
        <f>(1-$R$2)*'Fama-French '!E34+$R$2*C36</f>
        <v>-4.4556463348834185</v>
      </c>
      <c r="H36" s="3">
        <f t="shared" si="1"/>
        <v>1.7315255914598451</v>
      </c>
      <c r="I36" s="3">
        <f t="shared" si="2"/>
        <v>1.9213093125041272</v>
      </c>
      <c r="J36" s="3"/>
      <c r="L36" s="62" t="s">
        <v>129</v>
      </c>
      <c r="M36" s="62" t="s">
        <v>116</v>
      </c>
      <c r="N36" s="62"/>
      <c r="O36" s="62"/>
      <c r="P36" s="63" t="s">
        <v>130</v>
      </c>
      <c r="Q36" s="64" t="s">
        <v>131</v>
      </c>
      <c r="R36" s="59"/>
      <c r="AB36" s="59"/>
    </row>
    <row r="37" spans="1:28" s="53" customFormat="1" x14ac:dyDescent="0.25">
      <c r="A37" s="40">
        <v>44470</v>
      </c>
      <c r="B37" s="3">
        <v>205.18667600000001</v>
      </c>
      <c r="C37" s="3">
        <f t="shared" si="0"/>
        <v>7.7991072698139652</v>
      </c>
      <c r="D37" s="3">
        <f>C37-'Fama-French '!E35</f>
        <v>7.7991072698139652</v>
      </c>
      <c r="E37" s="3">
        <f>'FF3 Regression'!J38</f>
        <v>8.1869390002435161</v>
      </c>
      <c r="F37" s="3">
        <f>E37+'Fama-French '!E35</f>
        <v>8.1869390002435161</v>
      </c>
      <c r="G37" s="3">
        <f>(1-$R$2)*'Fama-French '!E35+$R$2*C37</f>
        <v>6.7958578488060244</v>
      </c>
      <c r="H37" s="3">
        <f t="shared" si="1"/>
        <v>1.849197609271154</v>
      </c>
      <c r="I37" s="3">
        <f t="shared" si="2"/>
        <v>2.0786057339248383</v>
      </c>
      <c r="J37" s="3"/>
      <c r="L37" s="65" t="s">
        <v>1</v>
      </c>
      <c r="M37" s="65" t="s">
        <v>119</v>
      </c>
      <c r="N37" s="65"/>
      <c r="O37" s="65"/>
      <c r="P37" s="66">
        <v>0.13200000000000001</v>
      </c>
      <c r="Q37" s="66">
        <v>0.23588401009402726</v>
      </c>
      <c r="R37" s="59"/>
      <c r="AB37" s="59"/>
    </row>
    <row r="38" spans="1:28" s="53" customFormat="1" x14ac:dyDescent="0.25">
      <c r="A38" s="40">
        <v>44501</v>
      </c>
      <c r="B38" s="3">
        <v>204.81918300000001</v>
      </c>
      <c r="C38" s="3">
        <f t="shared" si="0"/>
        <v>-0.17910178534203958</v>
      </c>
      <c r="D38" s="3">
        <f>C38-'Fama-French '!E36</f>
        <v>-0.17910178534203958</v>
      </c>
      <c r="E38" s="3">
        <f>'FF3 Regression'!J39</f>
        <v>-1.8357753243390305</v>
      </c>
      <c r="F38" s="3">
        <f>E38+'Fama-French '!E36</f>
        <v>-1.8357753243390305</v>
      </c>
      <c r="G38" s="3">
        <f>(1-$R$2)*'Fama-French '!E36+$R$2*C38</f>
        <v>-0.15606276866620203</v>
      </c>
      <c r="H38" s="3">
        <f t="shared" si="1"/>
        <v>1.8463117002840161</v>
      </c>
      <c r="I38" s="3">
        <f t="shared" si="2"/>
        <v>2.04044720277115</v>
      </c>
      <c r="J38" s="3"/>
      <c r="L38" s="65" t="s">
        <v>2</v>
      </c>
      <c r="M38" s="65" t="s">
        <v>132</v>
      </c>
      <c r="N38" s="65"/>
      <c r="O38" s="65"/>
      <c r="P38" s="66">
        <v>-2.9899999999999999E-2</v>
      </c>
      <c r="Q38" s="66">
        <v>0.14828394216875687</v>
      </c>
      <c r="R38" s="59"/>
      <c r="AB38" s="59"/>
    </row>
    <row r="39" spans="1:28" s="53" customFormat="1" x14ac:dyDescent="0.25">
      <c r="A39" s="40">
        <v>44531</v>
      </c>
      <c r="B39" s="3">
        <v>211.907623</v>
      </c>
      <c r="C39" s="3">
        <f t="shared" si="0"/>
        <v>3.4608281783840456</v>
      </c>
      <c r="D39" s="3">
        <f>C39-'Fama-French '!E37</f>
        <v>3.4508281783840458</v>
      </c>
      <c r="E39" s="3">
        <f>'FF3 Regression'!J40</f>
        <v>4.3095585281819826</v>
      </c>
      <c r="F39" s="3">
        <f>E39+'Fama-French '!E37</f>
        <v>4.3195585281819824</v>
      </c>
      <c r="G39" s="3">
        <f>(1-$R$2)*'Fama-French '!E37+$R$2*C39</f>
        <v>3.016925914677361</v>
      </c>
      <c r="H39" s="3">
        <f t="shared" si="1"/>
        <v>1.9020135564356051</v>
      </c>
      <c r="I39" s="3">
        <f t="shared" si="2"/>
        <v>2.128585513931502</v>
      </c>
      <c r="J39" s="3"/>
      <c r="L39" s="65" t="s">
        <v>8</v>
      </c>
      <c r="M39" s="65" t="s">
        <v>133</v>
      </c>
      <c r="N39" s="65"/>
      <c r="O39" s="65"/>
      <c r="P39" s="66">
        <v>5.4000000000000003E-3</v>
      </c>
      <c r="Q39" s="66">
        <v>2.8748409550391679E-2</v>
      </c>
      <c r="R39" s="59"/>
      <c r="AB39" s="59"/>
    </row>
    <row r="40" spans="1:28" s="53" customFormat="1" x14ac:dyDescent="0.25">
      <c r="A40" s="40">
        <v>44562</v>
      </c>
      <c r="B40" s="3">
        <v>202.64176900000001</v>
      </c>
      <c r="C40" s="3">
        <f t="shared" si="0"/>
        <v>-4.3725911644056259</v>
      </c>
      <c r="D40" s="3">
        <f>C40-'Fama-French '!E38</f>
        <v>-4.3725911644056259</v>
      </c>
      <c r="E40" s="3">
        <f>'FF3 Regression'!J41</f>
        <v>-5.1568042549514104</v>
      </c>
      <c r="F40" s="3">
        <f>E40+'Fama-French '!E38</f>
        <v>-5.1568042549514104</v>
      </c>
      <c r="G40" s="3">
        <f>(1-$R$2)*'Fama-French '!E38+$R$2*C40</f>
        <v>-3.810116588504707</v>
      </c>
      <c r="H40" s="3">
        <f t="shared" si="1"/>
        <v>1.8295446224062437</v>
      </c>
      <c r="I40" s="3">
        <f t="shared" si="2"/>
        <v>2.0188185255788031</v>
      </c>
      <c r="J40" s="3"/>
      <c r="L40" s="65" t="s">
        <v>3</v>
      </c>
      <c r="M40" s="65" t="s">
        <v>134</v>
      </c>
      <c r="N40" s="65"/>
      <c r="O40" s="65"/>
      <c r="P40" s="66">
        <v>0.1118</v>
      </c>
      <c r="Q40" s="66">
        <v>3.2372445835732372E-2</v>
      </c>
      <c r="AB40" s="59"/>
    </row>
    <row r="41" spans="1:28" s="53" customFormat="1" x14ac:dyDescent="0.25">
      <c r="A41" s="40">
        <v>44593</v>
      </c>
      <c r="B41" s="3">
        <v>194.854523</v>
      </c>
      <c r="C41" s="3">
        <f t="shared" si="0"/>
        <v>-3.8428632154311693</v>
      </c>
      <c r="D41" s="3">
        <f>C41-'Fama-French '!E39</f>
        <v>-3.8428632154311693</v>
      </c>
      <c r="E41" s="3">
        <f>'FF3 Regression'!J42</f>
        <v>-2.6897634744104275</v>
      </c>
      <c r="F41" s="3">
        <f>E41+'Fama-French '!E39</f>
        <v>-2.6897634744104275</v>
      </c>
      <c r="G41" s="3">
        <f>(1-$R$2)*'Fama-French '!E39+$R$2*C41</f>
        <v>-3.3485309588643228</v>
      </c>
      <c r="H41" s="3">
        <f t="shared" si="1"/>
        <v>1.7682817543187332</v>
      </c>
      <c r="I41" s="3">
        <f t="shared" si="2"/>
        <v>1.9645170822631535</v>
      </c>
      <c r="J41" s="3"/>
      <c r="L41" s="65" t="s">
        <v>113</v>
      </c>
      <c r="M41" s="65" t="s">
        <v>128</v>
      </c>
      <c r="N41" s="65"/>
      <c r="O41" s="65"/>
      <c r="P41" s="66">
        <v>6.5199999999999994E-2</v>
      </c>
      <c r="Q41" s="66">
        <v>1.8350737023513641E-2</v>
      </c>
      <c r="AB41" s="59"/>
    </row>
    <row r="42" spans="1:28" s="53" customFormat="1" x14ac:dyDescent="0.25">
      <c r="A42" s="40">
        <v>44621</v>
      </c>
      <c r="B42" s="3">
        <v>202.215057</v>
      </c>
      <c r="C42" s="3">
        <f t="shared" si="0"/>
        <v>3.7774509345107621</v>
      </c>
      <c r="D42" s="3">
        <f>C42-'Fama-French '!E40</f>
        <v>3.7674509345107623</v>
      </c>
      <c r="E42" s="3">
        <f>'FF3 Regression'!J43</f>
        <v>3.6626170828086329</v>
      </c>
      <c r="F42" s="3">
        <f>E42+'Fama-French '!E40</f>
        <v>3.6726170828086326</v>
      </c>
      <c r="G42" s="3">
        <f>(1-$R$2)*'Fama-French '!E40+$R$2*C42</f>
        <v>3.2928194455513977</v>
      </c>
      <c r="H42" s="3">
        <f t="shared" si="1"/>
        <v>1.8265080797770779</v>
      </c>
      <c r="I42" s="3">
        <f t="shared" si="2"/>
        <v>2.0366662722210438</v>
      </c>
      <c r="J42" s="3"/>
      <c r="L42" s="65" t="s">
        <v>117</v>
      </c>
      <c r="M42" s="65" t="s">
        <v>135</v>
      </c>
      <c r="N42" s="65"/>
      <c r="O42" s="65"/>
      <c r="P42" s="66">
        <v>9.2100000000000001E-2</v>
      </c>
      <c r="Q42" s="66">
        <v>0.53636045532757826</v>
      </c>
      <c r="AB42" s="59"/>
    </row>
    <row r="43" spans="1:28" s="53" customFormat="1" x14ac:dyDescent="0.25">
      <c r="A43" s="40">
        <v>44652</v>
      </c>
      <c r="B43" s="3">
        <v>182.617966</v>
      </c>
      <c r="C43" s="3">
        <f t="shared" si="0"/>
        <v>-9.691212558914442</v>
      </c>
      <c r="D43" s="3">
        <f>C43-'Fama-French '!E41</f>
        <v>-9.7012125589144418</v>
      </c>
      <c r="E43" s="3">
        <f>'FF3 Regression'!J44</f>
        <v>-7.6115505095605354</v>
      </c>
      <c r="F43" s="3">
        <f>E43+'Fama-French '!E41</f>
        <v>-7.6015505095605356</v>
      </c>
      <c r="G43" s="3">
        <f>(1-$R$2)*'Fama-French '!E41+$R$2*C43</f>
        <v>-8.4432830785140478</v>
      </c>
      <c r="H43" s="3">
        <f t="shared" si="1"/>
        <v>1.672290832149568</v>
      </c>
      <c r="I43" s="3">
        <f t="shared" si="2"/>
        <v>1.8818480568269773</v>
      </c>
      <c r="J43" s="3"/>
      <c r="AB43" s="59"/>
    </row>
    <row r="44" spans="1:28" s="53" customFormat="1" x14ac:dyDescent="0.25">
      <c r="A44" s="40">
        <v>44682</v>
      </c>
      <c r="B44" s="3">
        <v>182.296967</v>
      </c>
      <c r="C44" s="3">
        <f t="shared" si="0"/>
        <v>-0.1757762431764287</v>
      </c>
      <c r="D44" s="3">
        <f>C44-'Fama-French '!E42</f>
        <v>-0.2057762431764287</v>
      </c>
      <c r="E44" s="3">
        <f>'FF3 Regression'!J45</f>
        <v>-0.29442131848910902</v>
      </c>
      <c r="F44" s="3">
        <f>E44+'Fama-French '!E42</f>
        <v>-0.26442131848910899</v>
      </c>
      <c r="G44" s="3">
        <f>(1-$R$2)*'Fama-French '!E42+$R$2*C44</f>
        <v>-0.14930591911472801</v>
      </c>
      <c r="H44" s="3">
        <f t="shared" si="1"/>
        <v>1.6697940029523557</v>
      </c>
      <c r="I44" s="3">
        <f t="shared" si="2"/>
        <v>1.8768720493831539</v>
      </c>
      <c r="J44" s="3"/>
      <c r="V44" s="55"/>
      <c r="AB44" s="59"/>
    </row>
    <row r="45" spans="1:28" s="53" customFormat="1" x14ac:dyDescent="0.25">
      <c r="A45" s="40">
        <v>44713</v>
      </c>
      <c r="B45" s="3">
        <v>167.75563</v>
      </c>
      <c r="C45" s="3">
        <f t="shared" si="0"/>
        <v>-7.9767300791131586</v>
      </c>
      <c r="D45" s="3">
        <f>C45-'Fama-French '!E43</f>
        <v>-8.0367300791131591</v>
      </c>
      <c r="E45" s="3">
        <f>'FF3 Regression'!J46</f>
        <v>-5.8767776032383887</v>
      </c>
      <c r="F45" s="3">
        <f>E45+'Fama-French '!E43</f>
        <v>-5.8167776032383891</v>
      </c>
      <c r="G45" s="3">
        <f>(1-$R$2)*'Fama-French '!E43+$R$2*C45</f>
        <v>-6.942913705042475</v>
      </c>
      <c r="H45" s="3">
        <f t="shared" si="1"/>
        <v>1.5538616462753991</v>
      </c>
      <c r="I45" s="3">
        <f t="shared" si="2"/>
        <v>1.7676985763731932</v>
      </c>
      <c r="J45" s="3"/>
      <c r="V45" s="55"/>
      <c r="AB45" s="54"/>
    </row>
    <row r="46" spans="1:28" s="53" customFormat="1" x14ac:dyDescent="0.25">
      <c r="A46" s="40">
        <v>44743</v>
      </c>
      <c r="B46" s="3">
        <v>183.98561100000001</v>
      </c>
      <c r="C46" s="3">
        <f t="shared" si="0"/>
        <v>9.6747757437410709</v>
      </c>
      <c r="D46" s="3">
        <f>C46-'Fama-French '!E44</f>
        <v>9.5947757437410708</v>
      </c>
      <c r="E46" s="3">
        <f>'FF3 Regression'!J47</f>
        <v>6.9965437510250563</v>
      </c>
      <c r="F46" s="3">
        <f>E46+'Fama-French '!E44</f>
        <v>7.0765437510250564</v>
      </c>
      <c r="G46" s="3">
        <f>(1-$R$2)*'Fama-French '!E44+$R$2*C46</f>
        <v>8.4405379166930938</v>
      </c>
      <c r="H46" s="3">
        <f t="shared" si="1"/>
        <v>1.6850159277022259</v>
      </c>
      <c r="I46" s="3">
        <f t="shared" si="2"/>
        <v>1.8927905395164895</v>
      </c>
      <c r="J46" s="3"/>
      <c r="L46" s="65" t="s">
        <v>154</v>
      </c>
      <c r="M46" s="65" t="s">
        <v>120</v>
      </c>
      <c r="N46" s="87" t="s">
        <v>121</v>
      </c>
      <c r="O46" s="65" t="s">
        <v>122</v>
      </c>
      <c r="P46" s="65" t="s">
        <v>155</v>
      </c>
      <c r="Q46" s="65" t="s">
        <v>125</v>
      </c>
      <c r="R46" s="65" t="s">
        <v>156</v>
      </c>
      <c r="S46" s="65" t="s">
        <v>159</v>
      </c>
      <c r="T46" s="65" t="s">
        <v>157</v>
      </c>
      <c r="U46" s="65" t="s">
        <v>158</v>
      </c>
      <c r="V46" s="65" t="s">
        <v>160</v>
      </c>
      <c r="W46" s="65" t="s">
        <v>161</v>
      </c>
      <c r="X46" s="66" t="s">
        <v>123</v>
      </c>
    </row>
    <row r="47" spans="1:28" s="53" customFormat="1" x14ac:dyDescent="0.25">
      <c r="A47" s="40">
        <v>44774</v>
      </c>
      <c r="B47" s="3">
        <v>175.72198499999999</v>
      </c>
      <c r="C47" s="3">
        <f t="shared" si="0"/>
        <v>-4.4914523234102388</v>
      </c>
      <c r="D47" s="3">
        <f>C47-'Fama-French '!E45</f>
        <v>-4.6814523234102392</v>
      </c>
      <c r="E47" s="3">
        <f>'FF3 Regression'!J48</f>
        <v>-5.2170808729710734</v>
      </c>
      <c r="F47" s="3">
        <f>E47+'Fama-French '!E45</f>
        <v>-5.027080872971073</v>
      </c>
      <c r="G47" s="3">
        <f>(1-$R$2)*'Fama-French '!E45+$R$2*C47</f>
        <v>-3.8892469465056543</v>
      </c>
      <c r="H47" s="3">
        <f t="shared" si="1"/>
        <v>1.619481497185933</v>
      </c>
      <c r="I47" s="3">
        <f t="shared" si="2"/>
        <v>1.7976384283390501</v>
      </c>
      <c r="J47" s="3"/>
      <c r="L47" s="65" t="s">
        <v>1</v>
      </c>
      <c r="M47" s="88">
        <v>211915000</v>
      </c>
      <c r="N47" s="88">
        <v>88523000</v>
      </c>
      <c r="O47" s="88">
        <v>72361000</v>
      </c>
      <c r="P47" s="75">
        <v>11.06</v>
      </c>
      <c r="Q47" s="75">
        <v>13.26</v>
      </c>
      <c r="R47" s="75">
        <v>38.44</v>
      </c>
      <c r="S47" s="75">
        <v>47.47</v>
      </c>
      <c r="T47" s="89">
        <v>0.39169999999999999</v>
      </c>
      <c r="U47" s="89">
        <v>0.15190000000000001</v>
      </c>
      <c r="V47" s="89">
        <v>0.43590000000000001</v>
      </c>
      <c r="W47" s="89">
        <v>0.36270000000000002</v>
      </c>
      <c r="X47" s="71">
        <v>8.0000000000000002E-3</v>
      </c>
    </row>
    <row r="48" spans="1:28" s="53" customFormat="1" x14ac:dyDescent="0.25">
      <c r="A48" s="40">
        <v>44805</v>
      </c>
      <c r="B48" s="3">
        <v>158.541</v>
      </c>
      <c r="C48" s="3">
        <f t="shared" si="0"/>
        <v>-9.7773679258175932</v>
      </c>
      <c r="D48" s="3">
        <f>C48-'Fama-French '!E46</f>
        <v>-9.9673679258175927</v>
      </c>
      <c r="E48" s="3">
        <f>'FF3 Regression'!J49</f>
        <v>-8.0470185136656074</v>
      </c>
      <c r="F48" s="3">
        <f>E48+'Fama-French '!E46</f>
        <v>-7.857018513665607</v>
      </c>
      <c r="G48" s="3">
        <f>(1-$R$2)*'Fama-French '!E46+$R$2*C48</f>
        <v>-8.4952011656227242</v>
      </c>
      <c r="H48" s="3">
        <f t="shared" si="1"/>
        <v>1.4819032861599493</v>
      </c>
      <c r="I48" s="3">
        <f t="shared" si="2"/>
        <v>1.6563976442156836</v>
      </c>
      <c r="J48" s="3"/>
      <c r="L48" s="65" t="s">
        <v>2</v>
      </c>
      <c r="M48" s="88">
        <v>85159000</v>
      </c>
      <c r="N48" s="88">
        <v>22009000</v>
      </c>
      <c r="O48" s="88">
        <v>35153000</v>
      </c>
      <c r="P48" s="75">
        <v>5.2</v>
      </c>
      <c r="Q48" s="75">
        <v>5.33</v>
      </c>
      <c r="R48" s="75">
        <v>29.23</v>
      </c>
      <c r="S48" s="91" t="s">
        <v>153</v>
      </c>
      <c r="T48" s="90">
        <v>0.18310000000000001</v>
      </c>
      <c r="U48" s="89">
        <v>8.3299999999999999E-2</v>
      </c>
      <c r="V48" s="89">
        <v>0.22109999999999999</v>
      </c>
      <c r="W48" s="89">
        <v>0.4128</v>
      </c>
      <c r="X48" s="71">
        <v>0.03</v>
      </c>
    </row>
    <row r="49" spans="1:28" s="53" customFormat="1" x14ac:dyDescent="0.25">
      <c r="A49" s="40">
        <v>44835</v>
      </c>
      <c r="B49" s="3">
        <v>170.220001</v>
      </c>
      <c r="C49" s="3">
        <f t="shared" si="0"/>
        <v>7.3665493468566545</v>
      </c>
      <c r="D49" s="3">
        <f>C49-'Fama-French '!E47</f>
        <v>7.1365493468566541</v>
      </c>
      <c r="E49" s="3">
        <f>'FF3 Regression'!J50</f>
        <v>5.1246524306142316</v>
      </c>
      <c r="F49" s="3">
        <f>E49+'Fama-French '!E47</f>
        <v>5.354652430614232</v>
      </c>
      <c r="G49" s="3">
        <f>(1-$R$2)*'Fama-French '!E47+$R$2*C49</f>
        <v>6.4485290206149664</v>
      </c>
      <c r="H49" s="3">
        <f t="shared" si="1"/>
        <v>1.5774642496254205</v>
      </c>
      <c r="I49" s="3">
        <f t="shared" si="2"/>
        <v>1.7450919809323155</v>
      </c>
      <c r="J49" s="3"/>
      <c r="L49" s="65" t="s">
        <v>8</v>
      </c>
      <c r="M49" s="88">
        <v>45754000</v>
      </c>
      <c r="N49" s="88">
        <v>13016000</v>
      </c>
      <c r="O49" s="88">
        <v>10714000</v>
      </c>
      <c r="P49" s="75">
        <v>2.4700000000000002</v>
      </c>
      <c r="Q49" s="75">
        <v>9.85</v>
      </c>
      <c r="R49" s="75">
        <v>23.99</v>
      </c>
      <c r="S49" s="75">
        <v>25.19</v>
      </c>
      <c r="T49" s="75">
        <v>0.40160000000000001</v>
      </c>
      <c r="U49" s="75">
        <v>8.7400000000000005E-2</v>
      </c>
      <c r="V49" s="89">
        <v>0.22489999999999999</v>
      </c>
      <c r="W49" s="89">
        <v>0.23419999999999999</v>
      </c>
      <c r="X49" s="71">
        <v>3.1199999999999999E-2</v>
      </c>
    </row>
    <row r="50" spans="1:28" s="53" customFormat="1" x14ac:dyDescent="0.25">
      <c r="A50" s="40">
        <v>44866</v>
      </c>
      <c r="B50" s="3">
        <v>178.94068899999999</v>
      </c>
      <c r="C50" s="3">
        <f t="shared" si="0"/>
        <v>5.1231864344778222</v>
      </c>
      <c r="D50" s="3">
        <f>C50-'Fama-French '!E48</f>
        <v>4.8331864344778221</v>
      </c>
      <c r="E50" s="3">
        <f>'FF3 Regression'!J51</f>
        <v>5.5619820124844939</v>
      </c>
      <c r="F50" s="3">
        <f>E50+'Fama-French '!E48</f>
        <v>5.8519820124844939</v>
      </c>
      <c r="G50" s="3">
        <f>(1-$R$2)*'Fama-French '!E48+$R$2*C50</f>
        <v>4.5014625211806312</v>
      </c>
      <c r="H50" s="3">
        <f t="shared" si="1"/>
        <v>1.648473211607332</v>
      </c>
      <c r="I50" s="3">
        <f t="shared" si="2"/>
        <v>1.847214449757784</v>
      </c>
      <c r="J50" s="3"/>
      <c r="L50" s="65" t="s">
        <v>3</v>
      </c>
      <c r="M50" s="88">
        <v>133974000</v>
      </c>
      <c r="N50" s="88">
        <v>28718000</v>
      </c>
      <c r="O50" s="92">
        <v>11614000</v>
      </c>
      <c r="P50" s="75">
        <v>2.75</v>
      </c>
      <c r="Q50" s="75">
        <v>1.91</v>
      </c>
      <c r="R50" s="75">
        <v>15.25</v>
      </c>
      <c r="S50" s="75">
        <v>27.13</v>
      </c>
      <c r="T50" s="75">
        <v>0.12989999999999999</v>
      </c>
      <c r="U50" s="75">
        <v>4.9799999999999997E-2</v>
      </c>
      <c r="V50" s="90">
        <v>0.20419999999999999</v>
      </c>
      <c r="W50" s="89">
        <v>8.6699999999999999E-2</v>
      </c>
      <c r="X50" s="71">
        <v>7.0599999999999996E-2</v>
      </c>
    </row>
    <row r="51" spans="1:28" s="53" customFormat="1" x14ac:dyDescent="0.25">
      <c r="A51" s="40">
        <v>44896</v>
      </c>
      <c r="B51" s="3">
        <v>167.133453</v>
      </c>
      <c r="C51" s="3">
        <f t="shared" si="0"/>
        <v>-6.5984075874436776</v>
      </c>
      <c r="D51" s="3">
        <f>C51-'Fama-French '!E49</f>
        <v>-6.9284075874436777</v>
      </c>
      <c r="E51" s="3">
        <f>'FF3 Regression'!J52</f>
        <v>-4.9218052334007005</v>
      </c>
      <c r="F51" s="3">
        <f>E51+'Fama-French '!E49</f>
        <v>-4.5918052334007005</v>
      </c>
      <c r="G51" s="3">
        <f>(1-$R$2)*'Fama-French '!E49+$R$2*C51</f>
        <v>-5.7071618768592032</v>
      </c>
      <c r="H51" s="3">
        <f t="shared" si="1"/>
        <v>1.5543921769242417</v>
      </c>
      <c r="I51" s="3">
        <f t="shared" si="2"/>
        <v>1.762393959981672</v>
      </c>
      <c r="J51" s="3"/>
      <c r="L51" s="65" t="s">
        <v>113</v>
      </c>
      <c r="M51" s="92">
        <v>28114000</v>
      </c>
      <c r="N51" s="88">
        <v>9832000</v>
      </c>
      <c r="O51" s="88">
        <v>7310000</v>
      </c>
      <c r="P51" s="75">
        <v>3.6</v>
      </c>
      <c r="Q51" s="75">
        <v>2.8</v>
      </c>
      <c r="R51" s="75">
        <v>17.96</v>
      </c>
      <c r="S51" s="75">
        <v>16.059999999999999</v>
      </c>
      <c r="T51" s="75">
        <v>0.1158</v>
      </c>
      <c r="U51" s="75">
        <v>3.7400000000000003E-2</v>
      </c>
      <c r="V51" s="75">
        <v>0.33829999999999999</v>
      </c>
      <c r="W51" s="89">
        <v>0.26</v>
      </c>
      <c r="X51" s="71">
        <v>3.0800000000000001E-2</v>
      </c>
    </row>
    <row r="52" spans="1:28" s="53" customFormat="1" x14ac:dyDescent="0.25">
      <c r="A52" s="40">
        <v>44927</v>
      </c>
      <c r="B52" s="3">
        <v>178.55777</v>
      </c>
      <c r="C52" s="3">
        <f t="shared" si="0"/>
        <v>6.835446043228699</v>
      </c>
      <c r="D52" s="3">
        <f>C52-'Fama-French '!E50</f>
        <v>6.4854460432286993</v>
      </c>
      <c r="E52" s="3">
        <f>'FF3 Regression'!J53</f>
        <v>2.9577522343555112</v>
      </c>
      <c r="F52" s="3">
        <f>E52+'Fama-French '!E50</f>
        <v>3.3077522343555112</v>
      </c>
      <c r="G52" s="3">
        <f>(1-$R$2)*'Fama-French '!E50+$R$2*C52</f>
        <v>6.0011813302620522</v>
      </c>
      <c r="H52" s="3">
        <f t="shared" si="1"/>
        <v>1.6476740700448733</v>
      </c>
      <c r="I52" s="3">
        <f t="shared" si="2"/>
        <v>1.8206895855711123</v>
      </c>
      <c r="J52" s="3"/>
      <c r="T52" s="59"/>
      <c r="V52" s="55"/>
      <c r="AB52" s="59"/>
    </row>
    <row r="53" spans="1:28" s="53" customFormat="1" x14ac:dyDescent="0.25">
      <c r="A53" s="40">
        <v>44958</v>
      </c>
      <c r="B53" s="3">
        <v>174.76975999999999</v>
      </c>
      <c r="C53" s="3">
        <f t="shared" si="0"/>
        <v>-2.1214478653043267</v>
      </c>
      <c r="D53" s="3">
        <f>C53-'Fama-French '!E51</f>
        <v>-2.4614478653043266</v>
      </c>
      <c r="E53" s="3">
        <f>'FF3 Regression'!J54</f>
        <v>-2.6508865784600704</v>
      </c>
      <c r="F53" s="3">
        <f>E53+'Fama-French '!E51</f>
        <v>-2.3108865784600705</v>
      </c>
      <c r="G53" s="3">
        <f>(1-$R$2)*'Fama-French '!E51+$R$2*C53</f>
        <v>-1.8048159662579244</v>
      </c>
      <c r="H53" s="3">
        <f t="shared" si="1"/>
        <v>1.6179365853568117</v>
      </c>
      <c r="I53" s="3">
        <f t="shared" si="2"/>
        <v>1.7786155143027291</v>
      </c>
      <c r="J53" s="3"/>
      <c r="T53" s="59"/>
      <c r="V53" s="55"/>
      <c r="AB53" s="59"/>
    </row>
    <row r="54" spans="1:28" s="53" customFormat="1" x14ac:dyDescent="0.25">
      <c r="A54" s="40">
        <v>44986</v>
      </c>
      <c r="B54" s="3">
        <v>184.028244</v>
      </c>
      <c r="C54" s="3">
        <f t="shared" si="0"/>
        <v>5.2975320215579602</v>
      </c>
      <c r="D54" s="3">
        <f>C54-'Fama-French '!E52</f>
        <v>4.9375320215579599</v>
      </c>
      <c r="E54" s="3">
        <f>'FF3 Regression'!J55</f>
        <v>5.4984287681377726</v>
      </c>
      <c r="F54" s="3">
        <f>E54+'Fama-French '!E52</f>
        <v>5.8584287681377729</v>
      </c>
      <c r="G54" s="3">
        <f>(1-$R$2)*'Fama-French '!E52+$R$2*C54</f>
        <v>4.6623854630526358</v>
      </c>
      <c r="H54" s="3">
        <f t="shared" si="1"/>
        <v>1.6933710255138981</v>
      </c>
      <c r="I54" s="3">
        <f t="shared" si="2"/>
        <v>1.882814437267202</v>
      </c>
      <c r="J54" s="3"/>
      <c r="T54" s="59"/>
      <c r="V54" s="55"/>
      <c r="AB54" s="59"/>
    </row>
    <row r="55" spans="1:28" s="53" customFormat="1" ht="36.75" x14ac:dyDescent="0.25">
      <c r="A55" s="40">
        <v>45017</v>
      </c>
      <c r="B55" s="3">
        <v>188.70109600000001</v>
      </c>
      <c r="C55" s="3">
        <f t="shared" si="0"/>
        <v>2.5392037104913223</v>
      </c>
      <c r="D55" s="3">
        <f>C55-'Fama-French '!E53</f>
        <v>2.1892037104913222</v>
      </c>
      <c r="E55" s="3">
        <f>'FF3 Regression'!J56</f>
        <v>2.6538547478770442</v>
      </c>
      <c r="F55" s="3">
        <f>E55+'Fama-French '!E53</f>
        <v>3.0038547478770443</v>
      </c>
      <c r="G55" s="3">
        <f>(1-$R$2)*'Fama-French '!E53+$R$2*C55</f>
        <v>2.2575923312608319</v>
      </c>
      <c r="H55" s="3">
        <f t="shared" si="1"/>
        <v>1.7316004399256928</v>
      </c>
      <c r="I55" s="3">
        <f t="shared" si="2"/>
        <v>1.9393714481347675</v>
      </c>
      <c r="J55" s="3"/>
      <c r="L55" s="93" t="s">
        <v>171</v>
      </c>
      <c r="M55" s="76" t="s">
        <v>118</v>
      </c>
      <c r="N55" s="77"/>
      <c r="O55" s="77"/>
      <c r="P55" s="78"/>
      <c r="Q55" s="79"/>
      <c r="T55" s="59"/>
      <c r="V55" s="55"/>
      <c r="AB55" s="59"/>
    </row>
    <row r="56" spans="1:28" s="53" customFormat="1" x14ac:dyDescent="0.25">
      <c r="A56" s="40">
        <v>45047</v>
      </c>
      <c r="B56" s="3">
        <v>193.48057600000001</v>
      </c>
      <c r="C56" s="3">
        <f t="shared" si="0"/>
        <v>2.5328310758724992</v>
      </c>
      <c r="D56" s="3">
        <f>C56-'Fama-French '!E54</f>
        <v>2.1728310758724994</v>
      </c>
      <c r="E56" s="3">
        <f>'FF3 Regression'!J57</f>
        <v>0.3655805952301206</v>
      </c>
      <c r="F56" s="3">
        <f>E56+'Fama-French '!E54</f>
        <v>0.72558059523012064</v>
      </c>
      <c r="G56" s="3">
        <f>(1-$R$2)*'Fama-French '!E54+$R$2*C56</f>
        <v>2.2533258141287225</v>
      </c>
      <c r="H56" s="3">
        <f t="shared" si="1"/>
        <v>1.7706190396361048</v>
      </c>
      <c r="I56" s="3">
        <f t="shared" si="2"/>
        <v>1.9534431510318666</v>
      </c>
      <c r="J56" s="3"/>
      <c r="L56" s="65" t="s">
        <v>119</v>
      </c>
      <c r="M56" s="66">
        <v>0.1747810844965805</v>
      </c>
      <c r="N56" s="66"/>
      <c r="O56" s="66"/>
      <c r="P56" s="80"/>
      <c r="Q56" s="80"/>
      <c r="R56" s="53" t="s">
        <v>136</v>
      </c>
      <c r="T56" s="59"/>
      <c r="V56" s="55"/>
      <c r="AB56" s="59"/>
    </row>
    <row r="57" spans="1:28" s="53" customFormat="1" x14ac:dyDescent="0.25">
      <c r="A57" s="40">
        <v>45078</v>
      </c>
      <c r="B57" s="3">
        <v>204.47146599999999</v>
      </c>
      <c r="C57" s="3">
        <f t="shared" si="0"/>
        <v>5.6806167457347234</v>
      </c>
      <c r="D57" s="3">
        <f>C57-'Fama-French '!E55</f>
        <v>5.2806167457347231</v>
      </c>
      <c r="E57" s="3">
        <f>'FF3 Regression'!J58</f>
        <v>5.5244647129585749</v>
      </c>
      <c r="F57" s="3">
        <f>E57+'Fama-French '!E55</f>
        <v>5.9244647129585752</v>
      </c>
      <c r="G57" s="3">
        <f>(1-$R$2)*'Fama-French '!E55+$R$2*C57</f>
        <v>5.0013369885209764</v>
      </c>
      <c r="H57" s="3">
        <f t="shared" si="1"/>
        <v>1.85917366459122</v>
      </c>
      <c r="I57" s="3">
        <f t="shared" si="2"/>
        <v>2.0691742012024559</v>
      </c>
      <c r="J57" s="3"/>
      <c r="L57" s="65" t="s">
        <v>132</v>
      </c>
      <c r="M57" s="66">
        <v>0.3074557377346851</v>
      </c>
      <c r="N57" s="66"/>
      <c r="O57" s="66"/>
      <c r="P57" s="80"/>
      <c r="Q57" s="80"/>
      <c r="T57" s="59"/>
      <c r="V57" s="55"/>
      <c r="AB57" s="59"/>
    </row>
    <row r="58" spans="1:28" s="53" customFormat="1" x14ac:dyDescent="0.25">
      <c r="A58" s="40">
        <v>45108</v>
      </c>
      <c r="B58" s="3">
        <v>212.15249600000001</v>
      </c>
      <c r="C58" s="3">
        <f t="shared" si="0"/>
        <v>3.7565290405850771</v>
      </c>
      <c r="D58" s="3">
        <f>C58-'Fama-French '!E56</f>
        <v>3.3065290405850769</v>
      </c>
      <c r="E58" s="3">
        <f>'FF3 Regression'!J59</f>
        <v>1.1843104640661157</v>
      </c>
      <c r="F58" s="3">
        <f>E58+'Fama-French '!E56</f>
        <v>1.6343104640661157</v>
      </c>
      <c r="G58" s="3">
        <f>(1-$R$2)*'Fama-French '!E56+$R$2*C58</f>
        <v>3.3311889047528322</v>
      </c>
      <c r="H58" s="3">
        <f t="shared" si="1"/>
        <v>1.9211062514261694</v>
      </c>
      <c r="I58" s="3">
        <f t="shared" si="2"/>
        <v>2.1029909316924642</v>
      </c>
      <c r="J58" s="3"/>
      <c r="L58" s="65" t="s">
        <v>133</v>
      </c>
      <c r="M58" s="66">
        <v>0.15278995801179485</v>
      </c>
      <c r="N58" s="66"/>
      <c r="O58" s="66"/>
      <c r="P58" s="80"/>
      <c r="Q58" s="80"/>
      <c r="T58" s="59"/>
      <c r="V58" s="55"/>
      <c r="AB58" s="59"/>
    </row>
    <row r="59" spans="1:28" s="53" customFormat="1" x14ac:dyDescent="0.25">
      <c r="A59" s="40">
        <v>45139</v>
      </c>
      <c r="B59" s="3">
        <v>209.62686199999999</v>
      </c>
      <c r="C59" s="3">
        <f t="shared" si="0"/>
        <v>-1.1904804551533643</v>
      </c>
      <c r="D59" s="3">
        <f>C59-'Fama-French '!E57</f>
        <v>-1.6404804551533643</v>
      </c>
      <c r="E59" s="3">
        <f>'FF3 Regression'!J60</f>
        <v>-2.6965684980653282</v>
      </c>
      <c r="F59" s="3">
        <f>E59+'Fama-French '!E57</f>
        <v>-2.246568498065328</v>
      </c>
      <c r="G59" s="3">
        <f>(1-$R$2)*'Fama-French '!E57+$R$2*C59</f>
        <v>-0.97945488390914226</v>
      </c>
      <c r="H59" s="3">
        <f t="shared" si="1"/>
        <v>1.9022898824214918</v>
      </c>
      <c r="I59" s="3">
        <f t="shared" si="2"/>
        <v>2.0557457999038906</v>
      </c>
      <c r="J59" s="3"/>
      <c r="L59" s="65" t="s">
        <v>134</v>
      </c>
      <c r="M59" s="66">
        <v>0.24318471250354562</v>
      </c>
      <c r="N59" s="66"/>
      <c r="O59" s="66"/>
      <c r="P59" s="54"/>
      <c r="Q59" s="54"/>
      <c r="T59" s="59"/>
      <c r="V59" s="55"/>
      <c r="AB59" s="59"/>
    </row>
    <row r="60" spans="1:28" s="53" customFormat="1" x14ac:dyDescent="0.25">
      <c r="A60" s="40">
        <v>45170</v>
      </c>
      <c r="B60" s="3">
        <v>198.72212200000001</v>
      </c>
      <c r="C60" s="3">
        <f t="shared" si="0"/>
        <v>-5.2019764528078323</v>
      </c>
      <c r="D60" s="3">
        <f>C60-'Fama-French '!E58</f>
        <v>-5.631976452807832</v>
      </c>
      <c r="E60" s="3">
        <f>'FF3 Regression'!J61</f>
        <v>-4.9394627405309297</v>
      </c>
      <c r="F60" s="3">
        <f>E60+'Fama-French '!E58</f>
        <v>-4.50946274053093</v>
      </c>
      <c r="G60" s="3">
        <f>(1-$R$2)*'Fama-French '!E58+$R$2*C60</f>
        <v>-4.4774990325165493</v>
      </c>
      <c r="H60" s="3">
        <f t="shared" si="1"/>
        <v>1.8171148713404093</v>
      </c>
      <c r="I60" s="3">
        <f t="shared" si="2"/>
        <v>1.9630427090171951</v>
      </c>
      <c r="J60" s="3"/>
      <c r="L60" s="65" t="s">
        <v>128</v>
      </c>
      <c r="M60" s="66">
        <v>8.9345214345976615E-2</v>
      </c>
      <c r="N60" s="66"/>
      <c r="O60" s="66"/>
      <c r="P60" s="54"/>
      <c r="Q60" s="54"/>
      <c r="T60" s="59"/>
      <c r="V60" s="55"/>
      <c r="AB60" s="59"/>
    </row>
    <row r="61" spans="1:28" s="53" customFormat="1" x14ac:dyDescent="0.25">
      <c r="A61" s="40">
        <v>45200</v>
      </c>
      <c r="B61" s="3">
        <v>196.34132399999999</v>
      </c>
      <c r="C61" s="3">
        <f t="shared" si="0"/>
        <v>-1.1980538331812007</v>
      </c>
      <c r="D61" s="3">
        <f>C61-'Fama-French '!E59</f>
        <v>-1.6680538331812007</v>
      </c>
      <c r="E61" s="3">
        <f>'FF3 Regression'!J62</f>
        <v>-0.61071123760561807</v>
      </c>
      <c r="F61" s="3">
        <f>E61+'Fama-French '!E59</f>
        <v>-0.1407112376056181</v>
      </c>
      <c r="G61" s="3">
        <f>(1-$R$2)*'Fama-French '!E59+$R$2*C61</f>
        <v>-0.98348132065451577</v>
      </c>
      <c r="H61" s="3">
        <f t="shared" si="1"/>
        <v>1.7992438860059412</v>
      </c>
      <c r="I61" s="3">
        <f t="shared" si="2"/>
        <v>1.9602804873266102</v>
      </c>
      <c r="J61" s="3"/>
      <c r="L61" s="65" t="s">
        <v>135</v>
      </c>
      <c r="M61" s="66">
        <v>3.2443292907417223E-2</v>
      </c>
      <c r="N61" s="66"/>
      <c r="O61" s="66"/>
      <c r="P61" s="54"/>
      <c r="Q61" s="54"/>
      <c r="T61" s="59"/>
      <c r="V61" s="55"/>
      <c r="AB61" s="59"/>
    </row>
    <row r="62" spans="1:28" s="53" customFormat="1" x14ac:dyDescent="0.25">
      <c r="A62" s="40">
        <v>45231</v>
      </c>
      <c r="B62" s="3">
        <v>214.333313</v>
      </c>
      <c r="C62" s="3">
        <f t="shared" si="0"/>
        <v>9.1636282334532915</v>
      </c>
      <c r="D62" s="3">
        <f>C62-'Fama-French '!E60</f>
        <v>8.723628233453292</v>
      </c>
      <c r="E62" s="3">
        <f>'FF3 Regression'!J63</f>
        <v>8.4917404883123986</v>
      </c>
      <c r="F62" s="3">
        <f>E62+'Fama-French '!E60</f>
        <v>8.9317404883123981</v>
      </c>
      <c r="G62" s="3">
        <f>(1-$R$2)*'Fama-French '!E60+$R$2*C62</f>
        <v>8.0414517238193497</v>
      </c>
      <c r="H62" s="3">
        <f t="shared" si="1"/>
        <v>1.9439292144928804</v>
      </c>
      <c r="I62" s="3">
        <f t="shared" si="2"/>
        <v>2.1353676532976489</v>
      </c>
      <c r="J62" s="3"/>
      <c r="T62" s="59"/>
      <c r="V62" s="55"/>
      <c r="AB62" s="59"/>
    </row>
    <row r="63" spans="1:28" s="53" customFormat="1" x14ac:dyDescent="0.25">
      <c r="A63" s="40">
        <v>45261</v>
      </c>
      <c r="B63" s="3">
        <v>222.05694600000001</v>
      </c>
      <c r="C63" s="3">
        <f t="shared" si="0"/>
        <v>3.6035616171341545</v>
      </c>
      <c r="D63" s="3">
        <f>C63-'Fama-French '!E61</f>
        <v>3.1735616171341543</v>
      </c>
      <c r="E63" s="3">
        <f>'FF3 Regression'!J64</f>
        <v>2.670020800518031</v>
      </c>
      <c r="F63" s="3">
        <f>E63+'Fama-French '!E61</f>
        <v>3.1000208005180312</v>
      </c>
      <c r="G63" s="3">
        <f>(1-$R$2)*'Fama-French '!E61+$R$2*C63</f>
        <v>3.195325937744812</v>
      </c>
      <c r="H63" s="3">
        <f t="shared" si="1"/>
        <v>2.0060440888949702</v>
      </c>
      <c r="I63" s="3">
        <f t="shared" si="2"/>
        <v>2.20156449471741</v>
      </c>
      <c r="J63" s="3"/>
      <c r="L63" s="95" t="s">
        <v>168</v>
      </c>
      <c r="M63" s="96" t="s">
        <v>131</v>
      </c>
      <c r="N63" s="96" t="s">
        <v>172</v>
      </c>
      <c r="T63" s="59"/>
      <c r="V63" s="55"/>
      <c r="AB63" s="59"/>
    </row>
    <row r="64" spans="1:28" x14ac:dyDescent="0.25">
      <c r="E64" s="3"/>
      <c r="F64" s="3"/>
      <c r="G64" s="3"/>
      <c r="L64" s="84" t="s">
        <v>169</v>
      </c>
      <c r="M64" s="94">
        <f>1-M65</f>
        <v>0.46363954467242174</v>
      </c>
      <c r="N64" s="94">
        <f>1-N65</f>
        <v>0.96755670709258279</v>
      </c>
    </row>
    <row r="65" spans="12:17" x14ac:dyDescent="0.25">
      <c r="L65" s="84" t="s">
        <v>170</v>
      </c>
      <c r="M65" s="94">
        <f>Q42</f>
        <v>0.53636045532757826</v>
      </c>
      <c r="N65" s="94">
        <f>M61</f>
        <v>3.2443292907417223E-2</v>
      </c>
    </row>
    <row r="67" spans="12:17" x14ac:dyDescent="0.25">
      <c r="L67" s="106" t="s">
        <v>137</v>
      </c>
      <c r="M67" s="106"/>
      <c r="N67" s="83"/>
      <c r="O67" s="83"/>
      <c r="P67" s="81" t="s">
        <v>140</v>
      </c>
    </row>
    <row r="68" spans="12:17" x14ac:dyDescent="0.25">
      <c r="L68" s="84" t="s">
        <v>72</v>
      </c>
      <c r="M68" s="85">
        <f>'FF3 Regression'!M132</f>
        <v>0.22976155462076886</v>
      </c>
      <c r="N68" s="85"/>
      <c r="O68" s="85"/>
      <c r="P68" s="81" t="s">
        <v>141</v>
      </c>
      <c r="Q68" s="86">
        <f>AVERAGE(E4:E63)</f>
        <v>1.290313566971135</v>
      </c>
    </row>
    <row r="69" spans="12:17" x14ac:dyDescent="0.25">
      <c r="L69" s="84" t="s">
        <v>66</v>
      </c>
      <c r="M69" s="85">
        <f>'FF3 Regression'!M133</f>
        <v>0.88351394721457155</v>
      </c>
      <c r="N69" s="85"/>
      <c r="O69" s="85"/>
      <c r="P69" s="81" t="s">
        <v>142</v>
      </c>
      <c r="Q69" s="86">
        <f>_xlfn.STDEV.S(E4:E63)</f>
        <v>4.8290887080128568</v>
      </c>
    </row>
    <row r="70" spans="12:17" x14ac:dyDescent="0.25">
      <c r="L70" s="84" t="s">
        <v>5</v>
      </c>
      <c r="M70" s="85">
        <f>'FF3 Regression'!M134</f>
        <v>-0.24520029802267249</v>
      </c>
      <c r="N70" s="85"/>
      <c r="O70" s="85"/>
      <c r="P70" s="81" t="s">
        <v>143</v>
      </c>
      <c r="Q70" s="86">
        <f>Q68/Q69</f>
        <v>0.26719607880263846</v>
      </c>
    </row>
    <row r="71" spans="12:17" x14ac:dyDescent="0.25">
      <c r="L71" s="84" t="s">
        <v>6</v>
      </c>
      <c r="M71" s="85">
        <f>'FF3 Regression'!M135</f>
        <v>-8.9995789259364786E-2</v>
      </c>
      <c r="N71" s="85"/>
      <c r="O71" s="85"/>
      <c r="P71" s="81" t="s">
        <v>144</v>
      </c>
      <c r="Q71" s="86">
        <f>Q68*12/(Q69*SQRT(12))</f>
        <v>0.92559436813869478</v>
      </c>
    </row>
    <row r="72" spans="12:17" x14ac:dyDescent="0.25">
      <c r="L72" s="84" t="s">
        <v>138</v>
      </c>
      <c r="M72" s="85">
        <f>'FF3 Regression'!M120</f>
        <v>0.95476125775154741</v>
      </c>
      <c r="N72" s="85"/>
      <c r="O72" s="85"/>
    </row>
    <row r="73" spans="12:17" x14ac:dyDescent="0.25">
      <c r="L73" s="84" t="s">
        <v>139</v>
      </c>
      <c r="M73" s="85">
        <f>'FF3 Regression'!M122</f>
        <v>1.0542714274013754</v>
      </c>
      <c r="N73" s="85"/>
      <c r="O73" s="85"/>
    </row>
    <row r="74" spans="12:17" x14ac:dyDescent="0.25">
      <c r="L74" s="84" t="s">
        <v>140</v>
      </c>
      <c r="M74" s="85">
        <f>Q71</f>
        <v>0.92559436813869478</v>
      </c>
      <c r="N74" s="85"/>
      <c r="O74" s="85"/>
    </row>
    <row r="76" spans="12:17" x14ac:dyDescent="0.25">
      <c r="L76" s="81" t="s">
        <v>145</v>
      </c>
    </row>
    <row r="77" spans="12:17" x14ac:dyDescent="0.25">
      <c r="P77" s="81" t="s">
        <v>146</v>
      </c>
      <c r="Q77" s="81" t="s">
        <v>147</v>
      </c>
    </row>
    <row r="78" spans="12:17" x14ac:dyDescent="0.25">
      <c r="L78" s="53" t="s">
        <v>1</v>
      </c>
      <c r="M78" s="81">
        <f>3.155*1000</f>
        <v>3155</v>
      </c>
      <c r="P78" s="81" t="s">
        <v>150</v>
      </c>
      <c r="Q78" s="59">
        <f>(M78+M79+M80)/P82</f>
        <v>0.92519254835478715</v>
      </c>
    </row>
    <row r="79" spans="12:17" x14ac:dyDescent="0.25">
      <c r="L79" s="53" t="s">
        <v>2</v>
      </c>
      <c r="M79" s="81">
        <f>366.6</f>
        <v>366.6</v>
      </c>
      <c r="P79" s="81" t="s">
        <v>148</v>
      </c>
      <c r="Q79" s="59">
        <f>(M81+M82)/P82</f>
        <v>7.4807451645212797E-2</v>
      </c>
    </row>
    <row r="80" spans="12:17" x14ac:dyDescent="0.25">
      <c r="L80" s="53" t="s">
        <v>8</v>
      </c>
      <c r="M80" s="81">
        <f>255.481</f>
        <v>255.48099999999999</v>
      </c>
      <c r="P80" s="81" t="s">
        <v>149</v>
      </c>
    </row>
    <row r="81" spans="12:17" x14ac:dyDescent="0.25">
      <c r="L81" s="53" t="s">
        <v>3</v>
      </c>
      <c r="M81" s="81">
        <f>171.284</f>
        <v>171.28399999999999</v>
      </c>
      <c r="P81" s="81">
        <f>AVERAGE(M78:M82)</f>
        <v>816.49620000000004</v>
      </c>
    </row>
    <row r="82" spans="12:17" x14ac:dyDescent="0.25">
      <c r="L82" s="53" t="s">
        <v>113</v>
      </c>
      <c r="M82" s="81">
        <f>134.116</f>
        <v>134.11600000000001</v>
      </c>
      <c r="P82" s="81">
        <f>SUM(M78:M82)</f>
        <v>4082.4810000000002</v>
      </c>
    </row>
    <row r="84" spans="12:17" x14ac:dyDescent="0.25">
      <c r="L84" s="107" t="s">
        <v>162</v>
      </c>
      <c r="M84" s="107"/>
      <c r="P84" s="81" t="s">
        <v>173</v>
      </c>
      <c r="Q84" s="81" t="s">
        <v>174</v>
      </c>
    </row>
    <row r="85" spans="12:17" x14ac:dyDescent="0.25">
      <c r="L85" s="84" t="s">
        <v>163</v>
      </c>
      <c r="M85" s="66">
        <f>SUMPRODUCT(P85:P89,T47:T51)</f>
        <v>0.29639860421924408</v>
      </c>
      <c r="P85" s="53">
        <f>M26/SUM(M26:M30)</f>
        <v>0.50876594286341104</v>
      </c>
      <c r="Q85" s="81">
        <f>N26/SUM(N26:N30)</f>
        <v>0.18064169594956483</v>
      </c>
    </row>
    <row r="86" spans="12:17" x14ac:dyDescent="0.25">
      <c r="L86" s="84" t="s">
        <v>164</v>
      </c>
      <c r="M86" s="66">
        <f>SUMPRODUCT(U47:U51)</f>
        <v>0.4098</v>
      </c>
      <c r="P86" s="53">
        <f>M27/SUM(M26:M30)</f>
        <v>0.3198259162158501</v>
      </c>
      <c r="Q86" s="81">
        <f>N27/SUM(N26:N30)</f>
        <v>0.31776508341155613</v>
      </c>
    </row>
    <row r="87" spans="12:17" x14ac:dyDescent="0.25">
      <c r="M87" s="53"/>
      <c r="P87" s="53">
        <f>M28/SUM(M26:M30)</f>
        <v>6.2005948113643919E-2</v>
      </c>
      <c r="Q87" s="81">
        <f>N28/SUM(N26:N30)</f>
        <v>0.15791318161693524</v>
      </c>
    </row>
    <row r="88" spans="12:17" x14ac:dyDescent="0.25">
      <c r="M88" s="53"/>
      <c r="P88" s="53">
        <f>M29/SUM(M26:M30)</f>
        <v>6.9822443334950385E-2</v>
      </c>
      <c r="Q88" s="81">
        <f>N29/SUM(N26:N30)</f>
        <v>0.25133897653843246</v>
      </c>
    </row>
    <row r="89" spans="12:17" x14ac:dyDescent="0.25">
      <c r="L89" s="107" t="s">
        <v>165</v>
      </c>
      <c r="M89" s="108"/>
      <c r="P89" s="53">
        <f>M30/SUM(M26:M30)</f>
        <v>3.9579749472144578E-2</v>
      </c>
      <c r="Q89" s="81">
        <f>N30/SUM(N26:N30)</f>
        <v>9.2341062483511288E-2</v>
      </c>
    </row>
    <row r="90" spans="12:17" x14ac:dyDescent="0.25">
      <c r="L90" s="84" t="s">
        <v>166</v>
      </c>
      <c r="M90" s="85">
        <f>SUMPRODUCT(Q85:Q89,R47:R51)</f>
        <v>25.51184228182629</v>
      </c>
    </row>
    <row r="91" spans="12:17" x14ac:dyDescent="0.25">
      <c r="L91" s="84" t="s">
        <v>167</v>
      </c>
      <c r="M91" s="85">
        <f>SUMPRODUCT(Q85:Q89, X47:X51)</f>
        <v>3.649361380449706E-2</v>
      </c>
    </row>
  </sheetData>
  <mergeCells count="2">
    <mergeCell ref="S27:V27"/>
    <mergeCell ref="L67:M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Prices</vt:lpstr>
      <vt:lpstr>Fama-French </vt:lpstr>
      <vt:lpstr>Returns &amp; Exc. Returns</vt:lpstr>
      <vt:lpstr>CAPM Regressions </vt:lpstr>
      <vt:lpstr>Portfolio Construction</vt:lpstr>
      <vt:lpstr>FF3 Regression</vt:lpstr>
      <vt:lpstr>Data Computations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Balgabek, Meruyert</dc:creator>
  <cp:lastModifiedBy>Balgabek, Meruyert</cp:lastModifiedBy>
  <dcterms:created xsi:type="dcterms:W3CDTF">2024-04-01T02:59:53Z</dcterms:created>
  <dcterms:modified xsi:type="dcterms:W3CDTF">2024-05-01T19:02:06Z</dcterms:modified>
</cp:coreProperties>
</file>