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Y:\Technik\Technik 2022\05 - Electronics\02 - HV\01 - HV Accumulator\02 - ECAD\02 - PCB Files\03 - HV_DCDC\"/>
    </mc:Choice>
  </mc:AlternateContent>
  <xr:revisionPtr revIDLastSave="0" documentId="13_ncr:1_{5DC7B285-3175-4BB5-9AF1-325C01EA98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77" i="1"/>
  <c r="B68" i="1"/>
  <c r="B58" i="1"/>
  <c r="B59" i="1" s="1"/>
  <c r="D59" i="1" s="1"/>
  <c r="B60" i="1" s="1"/>
  <c r="B71" i="1"/>
  <c r="B96" i="1"/>
  <c r="B95" i="1"/>
  <c r="B83" i="1"/>
  <c r="B82" i="1"/>
  <c r="D34" i="1"/>
  <c r="S67" i="1"/>
  <c r="S47" i="1"/>
  <c r="B17" i="1"/>
  <c r="B21" i="1"/>
  <c r="B72" i="1" l="1"/>
  <c r="B64" i="1"/>
  <c r="D64" i="1" s="1"/>
  <c r="D40" i="1"/>
  <c r="B41" i="1" s="1"/>
  <c r="B42" i="1" s="1"/>
  <c r="B25" i="1"/>
  <c r="I21" i="1"/>
  <c r="B18" i="1" s="1"/>
  <c r="B22" i="1" s="1"/>
  <c r="B65" i="1" l="1"/>
  <c r="D68" i="1" s="1"/>
  <c r="B19" i="1"/>
  <c r="B9" i="1"/>
  <c r="B7" i="1"/>
  <c r="H21" i="1"/>
  <c r="G21" i="1"/>
  <c r="F21" i="1"/>
  <c r="D17" i="1"/>
  <c r="B86" i="1" l="1"/>
  <c r="B75" i="1"/>
  <c r="B85" i="1"/>
  <c r="B80" i="1" s="1"/>
  <c r="B79" i="1"/>
  <c r="B76" i="1" s="1"/>
  <c r="D19" i="1"/>
  <c r="B46" i="1"/>
  <c r="B52" i="1"/>
  <c r="B28" i="1"/>
  <c r="B29" i="1" s="1"/>
  <c r="B31" i="1" s="1"/>
  <c r="D31" i="1" s="1"/>
  <c r="B49" i="1"/>
  <c r="B43" i="1"/>
  <c r="B44" i="1" s="1"/>
  <c r="B70" i="1" l="1"/>
  <c r="B93" i="1"/>
  <c r="B98" i="1" s="1"/>
  <c r="B87" i="1"/>
  <c r="B91" i="1"/>
  <c r="B47" i="1"/>
  <c r="B50" i="1" s="1"/>
  <c r="B88" i="1"/>
  <c r="B89" i="1" s="1"/>
  <c r="B36" i="1"/>
  <c r="D36" i="1" s="1"/>
  <c r="B38" i="1"/>
  <c r="D38" i="1" s="1"/>
  <c r="B30" i="1"/>
  <c r="D30" i="1" s="1"/>
  <c r="D44" i="1"/>
  <c r="E43" i="1"/>
  <c r="B48" i="1" l="1"/>
  <c r="D48" i="1" s="1"/>
  <c r="B92" i="1"/>
  <c r="D47" i="1"/>
</calcChain>
</file>

<file path=xl/sharedStrings.xml><?xml version="1.0" encoding="utf-8"?>
<sst xmlns="http://schemas.openxmlformats.org/spreadsheetml/2006/main" count="237" uniqueCount="144">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</sst>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16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37</xdr:row>
      <xdr:rowOff>0</xdr:rowOff>
    </xdr:from>
    <xdr:to>
      <xdr:col>12</xdr:col>
      <xdr:colOff>512444</xdr:colOff>
      <xdr:row>45</xdr:row>
      <xdr:rowOff>91749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42</xdr:row>
      <xdr:rowOff>114301</xdr:rowOff>
    </xdr:from>
    <xdr:to>
      <xdr:col>12</xdr:col>
      <xdr:colOff>190499</xdr:colOff>
      <xdr:row>45</xdr:row>
      <xdr:rowOff>170421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46</xdr:row>
      <xdr:rowOff>15240</xdr:rowOff>
    </xdr:from>
    <xdr:to>
      <xdr:col>11</xdr:col>
      <xdr:colOff>554903</xdr:colOff>
      <xdr:row>50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50</xdr:row>
      <xdr:rowOff>119029</xdr:rowOff>
    </xdr:from>
    <xdr:to>
      <xdr:col>14</xdr:col>
      <xdr:colOff>14911</xdr:colOff>
      <xdr:row>53</xdr:row>
      <xdr:rowOff>160864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45</xdr:row>
      <xdr:rowOff>22860</xdr:rowOff>
    </xdr:from>
    <xdr:to>
      <xdr:col>3</xdr:col>
      <xdr:colOff>610916</xdr:colOff>
      <xdr:row>45</xdr:row>
      <xdr:rowOff>178426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53</xdr:row>
      <xdr:rowOff>127437</xdr:rowOff>
    </xdr:from>
    <xdr:to>
      <xdr:col>14</xdr:col>
      <xdr:colOff>139328</xdr:colOff>
      <xdr:row>61</xdr:row>
      <xdr:rowOff>186384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62</xdr:row>
      <xdr:rowOff>37931</xdr:rowOff>
    </xdr:from>
    <xdr:to>
      <xdr:col>14</xdr:col>
      <xdr:colOff>242126</xdr:colOff>
      <xdr:row>68</xdr:row>
      <xdr:rowOff>144517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772707</xdr:colOff>
      <xdr:row>63</xdr:row>
      <xdr:rowOff>169839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36</xdr:row>
      <xdr:rowOff>140818</xdr:rowOff>
    </xdr:from>
    <xdr:to>
      <xdr:col>33</xdr:col>
      <xdr:colOff>18197</xdr:colOff>
      <xdr:row>48</xdr:row>
      <xdr:rowOff>186300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50</xdr:row>
      <xdr:rowOff>2930</xdr:rowOff>
    </xdr:from>
    <xdr:to>
      <xdr:col>33</xdr:col>
      <xdr:colOff>95248</xdr:colOff>
      <xdr:row>62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72</xdr:row>
      <xdr:rowOff>179294</xdr:rowOff>
    </xdr:from>
    <xdr:to>
      <xdr:col>25</xdr:col>
      <xdr:colOff>582706</xdr:colOff>
      <xdr:row>81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A52" zoomScale="145" zoomScaleNormal="145" workbookViewId="0">
      <selection activeCell="G61" sqref="G61:I64"/>
    </sheetView>
  </sheetViews>
  <sheetFormatPr baseColWidth="10" defaultColWidth="8.85546875" defaultRowHeight="15" x14ac:dyDescent="0.25"/>
  <cols>
    <col min="1" max="1" width="17" customWidth="1"/>
    <col min="2" max="2" width="12.7109375" bestFit="1" customWidth="1"/>
    <col min="4" max="4" width="12" bestFit="1" customWidth="1"/>
    <col min="6" max="7" width="12" bestFit="1" customWidth="1"/>
  </cols>
  <sheetData>
    <row r="1" spans="1:10" x14ac:dyDescent="0.25">
      <c r="A1" s="29" t="s">
        <v>109</v>
      </c>
      <c r="B1" s="29"/>
      <c r="C1" s="29"/>
      <c r="D1" s="29"/>
      <c r="E1" s="29"/>
      <c r="F1" s="29"/>
      <c r="G1" s="29"/>
      <c r="H1" s="29"/>
      <c r="I1" s="29"/>
      <c r="J1" t="s">
        <v>58</v>
      </c>
    </row>
    <row r="2" spans="1:10" x14ac:dyDescent="0.25">
      <c r="A2" t="s">
        <v>0</v>
      </c>
      <c r="G2" s="6" t="s">
        <v>110</v>
      </c>
      <c r="J2" t="s">
        <v>57</v>
      </c>
    </row>
    <row r="3" spans="1:10" x14ac:dyDescent="0.25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25">
      <c r="A4" t="s">
        <v>21</v>
      </c>
      <c r="B4" s="14">
        <v>960</v>
      </c>
      <c r="C4" t="s">
        <v>20</v>
      </c>
      <c r="J4" t="s">
        <v>60</v>
      </c>
    </row>
    <row r="5" spans="1:10" x14ac:dyDescent="0.25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25">
      <c r="A6" t="s">
        <v>31</v>
      </c>
      <c r="B6" s="14">
        <v>630</v>
      </c>
      <c r="C6" t="s">
        <v>10</v>
      </c>
      <c r="D6" t="s">
        <v>32</v>
      </c>
    </row>
    <row r="7" spans="1:10" x14ac:dyDescent="0.25">
      <c r="A7" t="s">
        <v>19</v>
      </c>
      <c r="B7" s="14">
        <f>B4/B3</f>
        <v>40</v>
      </c>
      <c r="C7" t="s">
        <v>23</v>
      </c>
    </row>
    <row r="9" spans="1:10" x14ac:dyDescent="0.25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25">
      <c r="A10" t="s">
        <v>69</v>
      </c>
      <c r="B10" s="14">
        <v>2</v>
      </c>
      <c r="C10" t="s">
        <v>70</v>
      </c>
    </row>
    <row r="11" spans="1:10" x14ac:dyDescent="0.25">
      <c r="A11" t="s">
        <v>123</v>
      </c>
      <c r="B11" s="14">
        <v>10</v>
      </c>
      <c r="C11" t="s">
        <v>10</v>
      </c>
    </row>
    <row r="12" spans="1:10" x14ac:dyDescent="0.25">
      <c r="B12" s="20"/>
    </row>
    <row r="13" spans="1:10" x14ac:dyDescent="0.25">
      <c r="A13" s="29" t="s">
        <v>108</v>
      </c>
      <c r="B13" s="29"/>
      <c r="C13" s="29"/>
      <c r="D13" s="29"/>
      <c r="E13" s="29"/>
      <c r="F13" s="29"/>
      <c r="G13" s="29"/>
      <c r="H13" s="29"/>
      <c r="I13" s="29"/>
    </row>
    <row r="14" spans="1:10" x14ac:dyDescent="0.25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10" x14ac:dyDescent="0.25">
      <c r="A15" t="s">
        <v>7</v>
      </c>
      <c r="B15" s="15">
        <v>4.4499999999999998E-2</v>
      </c>
      <c r="D15" t="s">
        <v>8</v>
      </c>
    </row>
    <row r="17" spans="1:9" x14ac:dyDescent="0.25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9" x14ac:dyDescent="0.25">
      <c r="A18" t="s">
        <v>17</v>
      </c>
      <c r="B18" s="16">
        <f>I21</f>
        <v>10.989010989010989</v>
      </c>
    </row>
    <row r="19" spans="1:9" x14ac:dyDescent="0.25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9" x14ac:dyDescent="0.25">
      <c r="E20" t="s">
        <v>18</v>
      </c>
      <c r="F20" t="s">
        <v>34</v>
      </c>
      <c r="I20" s="3" t="s">
        <v>34</v>
      </c>
    </row>
    <row r="21" spans="1:9" x14ac:dyDescent="0.25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9" x14ac:dyDescent="0.25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9" x14ac:dyDescent="0.25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9" x14ac:dyDescent="0.25">
      <c r="A24" t="s">
        <v>40</v>
      </c>
      <c r="B24" s="14">
        <v>3</v>
      </c>
      <c r="C24" t="s">
        <v>15</v>
      </c>
    </row>
    <row r="25" spans="1:9" x14ac:dyDescent="0.25">
      <c r="A25" t="s">
        <v>39</v>
      </c>
      <c r="B25" s="7">
        <f>1-(B24/B21)</f>
        <v>0.99923076923076926</v>
      </c>
    </row>
    <row r="27" spans="1:9" x14ac:dyDescent="0.25">
      <c r="A27" s="29" t="s">
        <v>107</v>
      </c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t="s">
        <v>22</v>
      </c>
      <c r="B28" s="6">
        <f>B15*B7</f>
        <v>1.7799999999999998</v>
      </c>
      <c r="C28" t="s">
        <v>23</v>
      </c>
    </row>
    <row r="29" spans="1:9" x14ac:dyDescent="0.25">
      <c r="A29" t="s">
        <v>24</v>
      </c>
      <c r="B29" s="6">
        <f>B28*2</f>
        <v>3.5599999999999996</v>
      </c>
      <c r="C29" t="s">
        <v>23</v>
      </c>
    </row>
    <row r="30" spans="1:9" x14ac:dyDescent="0.25">
      <c r="A30" t="s">
        <v>28</v>
      </c>
      <c r="B30" s="8">
        <f>(1-((1/B5)*B19*B3))*1/B29*B3*1/B9</f>
        <v>2.8763615475877321E-5</v>
      </c>
      <c r="C30" t="s">
        <v>27</v>
      </c>
      <c r="D30" s="11">
        <f>B30*10^6</f>
        <v>28.763615475877319</v>
      </c>
      <c r="E30" t="s">
        <v>15</v>
      </c>
    </row>
    <row r="31" spans="1:9" x14ac:dyDescent="0.25">
      <c r="A31" t="s">
        <v>29</v>
      </c>
      <c r="B31" s="8">
        <f>(1-((1/B6)*B19*B3))*1/B29*B3*1/B9</f>
        <v>5.330464078457658E-5</v>
      </c>
      <c r="C31" t="s">
        <v>27</v>
      </c>
      <c r="D31" s="11">
        <f>B31*10^6</f>
        <v>53.304640784576577</v>
      </c>
      <c r="E31" t="s">
        <v>15</v>
      </c>
    </row>
    <row r="32" spans="1:9" ht="15.75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24" ht="15.75" x14ac:dyDescent="0.3">
      <c r="D33" s="2"/>
    </row>
    <row r="34" spans="1:24" ht="15.75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24" ht="15.75" x14ac:dyDescent="0.3">
      <c r="A35" t="s">
        <v>64</v>
      </c>
      <c r="B35" s="14">
        <v>0.2</v>
      </c>
      <c r="D35" s="2"/>
    </row>
    <row r="36" spans="1:24" ht="15.75" x14ac:dyDescent="0.3">
      <c r="A36" t="s">
        <v>65</v>
      </c>
      <c r="B36" s="8">
        <f>B29/(8*B9*(D34-B29*B35))</f>
        <v>-9.4279661016949134E-6</v>
      </c>
      <c r="C36" t="s">
        <v>53</v>
      </c>
      <c r="D36" s="18">
        <f>-B36*10^6</f>
        <v>9.4279661016949134</v>
      </c>
      <c r="E36" t="s">
        <v>66</v>
      </c>
      <c r="F36" t="s">
        <v>67</v>
      </c>
    </row>
    <row r="38" spans="1:24" x14ac:dyDescent="0.25">
      <c r="A38" t="s">
        <v>41</v>
      </c>
      <c r="B38" s="12">
        <f>(B19*96*10^-3)/(0.5*B29*B7*1.3)</f>
        <v>5.6987092423566059E-3</v>
      </c>
      <c r="C38" t="s">
        <v>42</v>
      </c>
      <c r="D38" s="11">
        <f>B38*10^3</f>
        <v>5.6987092423566059</v>
      </c>
      <c r="E38" t="s">
        <v>43</v>
      </c>
    </row>
    <row r="40" spans="1:24" x14ac:dyDescent="0.25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24" x14ac:dyDescent="0.25">
      <c r="A41" t="s">
        <v>47</v>
      </c>
      <c r="B41" s="10">
        <f>(D40*((1/((B5/1.25)-1))+1))/(B6/1.25)</f>
        <v>1994.9692080839623</v>
      </c>
      <c r="C41" t="s">
        <v>42</v>
      </c>
    </row>
    <row r="42" spans="1:24" x14ac:dyDescent="0.25">
      <c r="A42" t="s">
        <v>48</v>
      </c>
      <c r="B42" s="10">
        <f>B41*((B6/1.25)-1)-D40</f>
        <v>3469.5116662330693</v>
      </c>
      <c r="C42" t="s">
        <v>42</v>
      </c>
    </row>
    <row r="43" spans="1:24" x14ac:dyDescent="0.25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  <c r="R43" t="s">
        <v>93</v>
      </c>
      <c r="S43">
        <v>32.799999999999997</v>
      </c>
      <c r="T43" t="s">
        <v>23</v>
      </c>
      <c r="U43" t="s">
        <v>98</v>
      </c>
      <c r="V43" t="s">
        <v>92</v>
      </c>
      <c r="W43" t="s">
        <v>99</v>
      </c>
    </row>
    <row r="44" spans="1:24" x14ac:dyDescent="0.25">
      <c r="A44" t="s">
        <v>44</v>
      </c>
      <c r="B44" s="10">
        <f>(D14/(0.725*((B9/1000)/300)*(1.25/B43)))*51.1*10^3</f>
        <v>148013.79310345076</v>
      </c>
      <c r="C44" t="s">
        <v>51</v>
      </c>
      <c r="D44" s="10">
        <f>B44*10^-3</f>
        <v>148.01379310345078</v>
      </c>
      <c r="E44" t="s">
        <v>51</v>
      </c>
      <c r="F44" s="5"/>
      <c r="R44" t="s">
        <v>94</v>
      </c>
      <c r="S44">
        <v>3</v>
      </c>
      <c r="T44" t="s">
        <v>23</v>
      </c>
      <c r="V44" t="s">
        <v>100</v>
      </c>
      <c r="W44">
        <v>39.85</v>
      </c>
      <c r="X44" t="s">
        <v>101</v>
      </c>
    </row>
    <row r="45" spans="1:24" x14ac:dyDescent="0.25">
      <c r="A45" s="29" t="s">
        <v>106</v>
      </c>
      <c r="B45" s="29"/>
      <c r="C45" s="29"/>
      <c r="D45" s="29"/>
      <c r="E45" s="29"/>
      <c r="F45" s="29"/>
      <c r="G45" s="29"/>
      <c r="H45" s="29"/>
      <c r="I45" s="29"/>
      <c r="R45" t="s">
        <v>95</v>
      </c>
      <c r="S45">
        <v>1043</v>
      </c>
      <c r="T45" t="s">
        <v>20</v>
      </c>
      <c r="V45" t="s">
        <v>104</v>
      </c>
    </row>
    <row r="46" spans="1:24" x14ac:dyDescent="0.25">
      <c r="A46" t="s">
        <v>7</v>
      </c>
      <c r="B46" s="11">
        <f>(B3/B6)*B19</f>
        <v>0.20931449502878077</v>
      </c>
      <c r="G46" s="20"/>
      <c r="H46" s="20"/>
      <c r="R46" t="s">
        <v>96</v>
      </c>
      <c r="S46">
        <v>953</v>
      </c>
      <c r="T46" t="s">
        <v>20</v>
      </c>
    </row>
    <row r="47" spans="1:24" x14ac:dyDescent="0.25">
      <c r="A47" t="s">
        <v>52</v>
      </c>
      <c r="B47" s="8">
        <f>(10*(1-B46)^2)/(B21*(2*PI()*(B9/1000))^2)</f>
        <v>4.0605345564331669E-9</v>
      </c>
      <c r="C47" t="s">
        <v>53</v>
      </c>
      <c r="D47" s="13">
        <f>B47*10^9</f>
        <v>4.0605345564331667</v>
      </c>
      <c r="E47" t="s">
        <v>54</v>
      </c>
      <c r="G47" s="26"/>
      <c r="H47" s="20"/>
      <c r="R47" t="s">
        <v>97</v>
      </c>
      <c r="S47" s="4">
        <f>(S46/S45)*100</f>
        <v>91.371045062320235</v>
      </c>
      <c r="T47" t="s">
        <v>103</v>
      </c>
    </row>
    <row r="48" spans="1:24" x14ac:dyDescent="0.25">
      <c r="A48" t="s">
        <v>55</v>
      </c>
      <c r="B48" s="8">
        <f>6*B47</f>
        <v>2.4363207338599E-8</v>
      </c>
      <c r="C48" t="s">
        <v>53</v>
      </c>
      <c r="D48" s="13">
        <f>B48*10^9</f>
        <v>24.363207338599</v>
      </c>
      <c r="E48" t="s">
        <v>54</v>
      </c>
      <c r="R48" t="s">
        <v>102</v>
      </c>
      <c r="S48">
        <v>1.6E-2</v>
      </c>
      <c r="T48" t="s">
        <v>10</v>
      </c>
    </row>
    <row r="49" spans="1:24" x14ac:dyDescent="0.25">
      <c r="A49" t="s">
        <v>5</v>
      </c>
      <c r="B49" s="11">
        <f>(B3/B5)*B19</f>
        <v>0.5733397037744864</v>
      </c>
    </row>
    <row r="50" spans="1:24" x14ac:dyDescent="0.25">
      <c r="A50" t="s">
        <v>56</v>
      </c>
      <c r="B50" s="10">
        <f>(1/(1-B49))*SQRT(B21*10^-6/B47)</f>
        <v>2296.9866312323384</v>
      </c>
      <c r="C50" t="s">
        <v>42</v>
      </c>
    </row>
    <row r="52" spans="1:24" x14ac:dyDescent="0.25">
      <c r="A52" t="s">
        <v>71</v>
      </c>
      <c r="B52" s="6">
        <f>(1.2/(B9/B10))*22.1*10^6</f>
        <v>530.40000000000009</v>
      </c>
      <c r="C52" t="s">
        <v>51</v>
      </c>
    </row>
    <row r="54" spans="1:24" x14ac:dyDescent="0.25">
      <c r="A54" s="29" t="s">
        <v>105</v>
      </c>
      <c r="B54" s="29"/>
      <c r="C54" s="29"/>
      <c r="D54" s="29"/>
      <c r="E54" s="29"/>
      <c r="F54" s="29"/>
      <c r="G54" s="29"/>
      <c r="H54" s="29"/>
      <c r="I54" s="29"/>
    </row>
    <row r="55" spans="1:24" x14ac:dyDescent="0.25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24" x14ac:dyDescent="0.25">
      <c r="A56" t="s">
        <v>73</v>
      </c>
      <c r="B56" s="14">
        <v>4.5</v>
      </c>
      <c r="C56" t="s">
        <v>23</v>
      </c>
      <c r="D56" t="s">
        <v>88</v>
      </c>
    </row>
    <row r="58" spans="1:24" x14ac:dyDescent="0.25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24" x14ac:dyDescent="0.25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24" x14ac:dyDescent="0.25">
      <c r="A60" t="s">
        <v>87</v>
      </c>
      <c r="B60" s="6">
        <f>D59*1.2</f>
        <v>22.139999999999997</v>
      </c>
      <c r="C60" t="s">
        <v>75</v>
      </c>
    </row>
    <row r="61" spans="1:24" x14ac:dyDescent="0.25">
      <c r="G61" s="30" t="s">
        <v>143</v>
      </c>
      <c r="H61" s="31"/>
      <c r="I61" s="31"/>
    </row>
    <row r="62" spans="1:24" x14ac:dyDescent="0.25">
      <c r="A62" t="s">
        <v>77</v>
      </c>
      <c r="B62" s="14">
        <v>2000</v>
      </c>
      <c r="C62" t="s">
        <v>79</v>
      </c>
      <c r="G62" s="31"/>
      <c r="H62" s="31"/>
      <c r="I62" s="31"/>
    </row>
    <row r="63" spans="1:24" x14ac:dyDescent="0.25">
      <c r="A63" t="s">
        <v>78</v>
      </c>
      <c r="B63" s="14">
        <v>300</v>
      </c>
      <c r="C63" t="s">
        <v>10</v>
      </c>
      <c r="G63" s="31"/>
      <c r="H63" s="31"/>
      <c r="I63" s="31"/>
      <c r="R63" t="s">
        <v>93</v>
      </c>
      <c r="S63">
        <v>31.3</v>
      </c>
      <c r="T63" t="s">
        <v>23</v>
      </c>
      <c r="U63" t="s">
        <v>98</v>
      </c>
      <c r="V63" t="s">
        <v>92</v>
      </c>
      <c r="W63" t="s">
        <v>99</v>
      </c>
    </row>
    <row r="64" spans="1:24" x14ac:dyDescent="0.25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0">B64*10^3</f>
        <v>1025.5255063149641</v>
      </c>
      <c r="E64" t="s">
        <v>75</v>
      </c>
      <c r="G64" s="31"/>
      <c r="H64" s="31"/>
      <c r="I64" s="31"/>
      <c r="R64" t="s">
        <v>94</v>
      </c>
      <c r="S64">
        <v>2.84</v>
      </c>
      <c r="T64" t="s">
        <v>23</v>
      </c>
      <c r="V64" t="s">
        <v>100</v>
      </c>
      <c r="W64">
        <v>39.85</v>
      </c>
      <c r="X64" t="s">
        <v>101</v>
      </c>
    </row>
    <row r="65" spans="1:22" x14ac:dyDescent="0.25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  <c r="R65" t="s">
        <v>95</v>
      </c>
      <c r="S65">
        <v>1001</v>
      </c>
      <c r="T65" t="s">
        <v>20</v>
      </c>
      <c r="V65" t="s">
        <v>104</v>
      </c>
    </row>
    <row r="66" spans="1:22" x14ac:dyDescent="0.25">
      <c r="R66" t="s">
        <v>96</v>
      </c>
      <c r="S66">
        <v>953</v>
      </c>
      <c r="T66" t="s">
        <v>20</v>
      </c>
    </row>
    <row r="67" spans="1:22" x14ac:dyDescent="0.25">
      <c r="A67" t="s">
        <v>80</v>
      </c>
      <c r="B67" s="14">
        <v>1000</v>
      </c>
      <c r="C67" t="s">
        <v>42</v>
      </c>
      <c r="D67" t="s">
        <v>86</v>
      </c>
      <c r="R67" t="s">
        <v>97</v>
      </c>
      <c r="S67" s="4">
        <f>(S66/S65)*100</f>
        <v>95.204795204795204</v>
      </c>
      <c r="T67" t="s">
        <v>103</v>
      </c>
    </row>
    <row r="68" spans="1:22" x14ac:dyDescent="0.25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  <c r="R68" t="s">
        <v>102</v>
      </c>
      <c r="S68">
        <v>1.7999999999999999E-2</v>
      </c>
      <c r="T68" t="s">
        <v>10</v>
      </c>
    </row>
    <row r="69" spans="1:22" x14ac:dyDescent="0.25">
      <c r="D69" s="27"/>
      <c r="E69" s="20"/>
      <c r="F69" s="20"/>
    </row>
    <row r="70" spans="1:22" x14ac:dyDescent="0.25">
      <c r="A70" t="s">
        <v>138</v>
      </c>
      <c r="B70" s="23">
        <f>SQRT((1-B46)*(B7^2+(B29^2/12)))</f>
        <v>35.579936442775363</v>
      </c>
      <c r="C70" t="s">
        <v>23</v>
      </c>
      <c r="D70" s="27"/>
      <c r="E70" s="20"/>
      <c r="F70" s="20"/>
    </row>
    <row r="71" spans="1:22" x14ac:dyDescent="0.25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22" x14ac:dyDescent="0.25">
      <c r="A72" t="s">
        <v>140</v>
      </c>
      <c r="B72" s="22">
        <f>(B70^2*B58)+(B11*B9*B71)</f>
        <v>5.5353206968149298</v>
      </c>
      <c r="C72" s="20" t="s">
        <v>20</v>
      </c>
      <c r="D72" s="27"/>
      <c r="E72" s="20"/>
      <c r="F72" s="20"/>
    </row>
    <row r="74" spans="1:22" x14ac:dyDescent="0.25">
      <c r="A74" s="29" t="s">
        <v>112</v>
      </c>
      <c r="B74" s="29"/>
      <c r="C74" s="29"/>
      <c r="D74" s="29"/>
      <c r="E74" s="29"/>
      <c r="F74" s="29"/>
      <c r="G74" s="29"/>
      <c r="H74" s="29"/>
      <c r="I74" s="29"/>
    </row>
    <row r="75" spans="1:22" x14ac:dyDescent="0.25">
      <c r="A75" t="s">
        <v>114</v>
      </c>
      <c r="B75" s="23">
        <f>0.5*B19*(B3/(B21*10^-6))*(1/B9)*2</f>
        <v>0.33812341504649202</v>
      </c>
      <c r="C75" t="s">
        <v>23</v>
      </c>
      <c r="F75" s="31" t="s">
        <v>133</v>
      </c>
      <c r="G75" s="31"/>
    </row>
    <row r="76" spans="1:22" x14ac:dyDescent="0.25">
      <c r="A76" t="s">
        <v>116</v>
      </c>
      <c r="B76" s="23">
        <f>B79</f>
        <v>956.13236267372599</v>
      </c>
      <c r="D76" t="s">
        <v>117</v>
      </c>
      <c r="F76" s="31"/>
      <c r="G76" s="31"/>
    </row>
    <row r="77" spans="1:22" x14ac:dyDescent="0.25">
      <c r="A77" t="s">
        <v>115</v>
      </c>
      <c r="B77" s="23">
        <f>(1/B19)*(B7+(B29/2))</f>
        <v>7.6039599999999998</v>
      </c>
      <c r="C77" t="s">
        <v>23</v>
      </c>
      <c r="F77" s="31"/>
      <c r="G77" s="31"/>
    </row>
    <row r="78" spans="1:22" x14ac:dyDescent="0.25">
      <c r="A78" s="29" t="s">
        <v>113</v>
      </c>
      <c r="B78" s="29"/>
      <c r="C78" s="29"/>
      <c r="D78" s="29"/>
      <c r="E78" s="29"/>
      <c r="F78" s="29"/>
      <c r="G78" s="29"/>
      <c r="H78" s="29"/>
      <c r="I78" s="29"/>
    </row>
    <row r="79" spans="1:22" x14ac:dyDescent="0.25">
      <c r="A79" t="s">
        <v>118</v>
      </c>
      <c r="B79" s="4">
        <f>((B6^2)/(B6-(B3*B19)))*1.2</f>
        <v>956.13236267372599</v>
      </c>
      <c r="C79" t="s">
        <v>10</v>
      </c>
    </row>
    <row r="80" spans="1:22" x14ac:dyDescent="0.25">
      <c r="A80" t="s">
        <v>119</v>
      </c>
      <c r="B80" s="4">
        <f>SQRT(B85/B81)</f>
        <v>5.5123576586177476</v>
      </c>
      <c r="C80" t="s">
        <v>23</v>
      </c>
    </row>
    <row r="81" spans="1:9" x14ac:dyDescent="0.25">
      <c r="A81" t="s">
        <v>74</v>
      </c>
      <c r="B81">
        <v>0.2</v>
      </c>
      <c r="C81" t="s">
        <v>42</v>
      </c>
      <c r="F81" s="31" t="s">
        <v>132</v>
      </c>
      <c r="G81" s="31"/>
    </row>
    <row r="82" spans="1:9" x14ac:dyDescent="0.25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31"/>
      <c r="G82" s="31"/>
    </row>
    <row r="83" spans="1:9" x14ac:dyDescent="0.25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31"/>
      <c r="G83" s="31"/>
    </row>
    <row r="85" spans="1:9" x14ac:dyDescent="0.25">
      <c r="A85" t="s">
        <v>120</v>
      </c>
      <c r="B85" s="4">
        <f>B19*(B3/B5)*((1/B19)*B7)^2*B81</f>
        <v>6.0772173913043472</v>
      </c>
      <c r="C85" t="s">
        <v>20</v>
      </c>
    </row>
    <row r="86" spans="1:9" x14ac:dyDescent="0.25">
      <c r="A86" t="s">
        <v>121</v>
      </c>
      <c r="B86">
        <f>B82*B11*B9</f>
        <v>3.0000000000000002E-2</v>
      </c>
      <c r="C86" t="s">
        <v>20</v>
      </c>
    </row>
    <row r="87" spans="1:9" x14ac:dyDescent="0.25">
      <c r="A87" t="s">
        <v>126</v>
      </c>
      <c r="B87" s="4">
        <f>0.5*B7*D19*(B6/(1-B49))*(B83/2)*B9</f>
        <v>1.6124303247480403</v>
      </c>
      <c r="C87" t="s">
        <v>20</v>
      </c>
    </row>
    <row r="88" spans="1:9" x14ac:dyDescent="0.25">
      <c r="A88" t="s">
        <v>127</v>
      </c>
      <c r="B88" s="4">
        <f>0.5*B7*D19*B6*(B83/2)*B9</f>
        <v>0.68796000000000002</v>
      </c>
      <c r="C88" t="s">
        <v>20</v>
      </c>
    </row>
    <row r="89" spans="1:9" x14ac:dyDescent="0.25">
      <c r="A89" t="s">
        <v>129</v>
      </c>
      <c r="B89" s="4">
        <f>B85+B86+B87+B88</f>
        <v>8.4076077160523877</v>
      </c>
      <c r="C89" t="s">
        <v>20</v>
      </c>
    </row>
    <row r="90" spans="1:9" x14ac:dyDescent="0.25">
      <c r="A90" s="29" t="s">
        <v>134</v>
      </c>
      <c r="B90" s="29"/>
      <c r="C90" s="29"/>
      <c r="D90" s="29"/>
      <c r="E90" s="29"/>
      <c r="F90" s="29"/>
      <c r="G90" s="29"/>
      <c r="H90" s="29"/>
      <c r="I90" s="29"/>
    </row>
    <row r="91" spans="1:9" x14ac:dyDescent="0.25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9" x14ac:dyDescent="0.25">
      <c r="A92" t="s">
        <v>135</v>
      </c>
      <c r="B92" s="4">
        <f>(B3/(B9*2*SQRT(B21*10^-6*B47)))</f>
        <v>30.154861431004125</v>
      </c>
      <c r="C92" t="s">
        <v>10</v>
      </c>
      <c r="D92" t="s">
        <v>136</v>
      </c>
    </row>
    <row r="93" spans="1:9" x14ac:dyDescent="0.25">
      <c r="A93" t="s">
        <v>138</v>
      </c>
      <c r="B93">
        <f>SQRT(B49*(B7^2+(B29^2/12)))</f>
        <v>30.297673990121055</v>
      </c>
      <c r="C93" t="s">
        <v>23</v>
      </c>
    </row>
    <row r="94" spans="1:9" x14ac:dyDescent="0.25">
      <c r="F94" s="31" t="s">
        <v>141</v>
      </c>
      <c r="G94" s="31"/>
    </row>
    <row r="95" spans="1:9" x14ac:dyDescent="0.25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31"/>
      <c r="G95" s="31"/>
    </row>
    <row r="96" spans="1:9" x14ac:dyDescent="0.25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31"/>
      <c r="G96" s="31"/>
    </row>
    <row r="98" spans="1:3" x14ac:dyDescent="0.25">
      <c r="A98" t="s">
        <v>139</v>
      </c>
      <c r="B98" s="4">
        <f>(B93^2*B95)+(B11*B96*B9)</f>
        <v>1.8681031935021499</v>
      </c>
      <c r="C98" t="s">
        <v>20</v>
      </c>
    </row>
  </sheetData>
  <mergeCells count="12">
    <mergeCell ref="G61:I64"/>
    <mergeCell ref="A90:I90"/>
    <mergeCell ref="F94:G96"/>
    <mergeCell ref="A74:I74"/>
    <mergeCell ref="A78:I78"/>
    <mergeCell ref="F81:G83"/>
    <mergeCell ref="F75:G77"/>
    <mergeCell ref="A45:I45"/>
    <mergeCell ref="A13:I13"/>
    <mergeCell ref="A27:I27"/>
    <mergeCell ref="A54:I54"/>
    <mergeCell ref="A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Admin</cp:lastModifiedBy>
  <dcterms:created xsi:type="dcterms:W3CDTF">2015-06-05T18:19:34Z</dcterms:created>
  <dcterms:modified xsi:type="dcterms:W3CDTF">2021-11-30T21:38:16Z</dcterms:modified>
</cp:coreProperties>
</file>