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BR\GIT\HV_DCDC\"/>
    </mc:Choice>
  </mc:AlternateContent>
  <xr:revisionPtr revIDLastSave="0" documentId="13_ncr:1_{BF6F7C33-3789-4831-B125-FD5BA1056544}" xr6:coauthVersionLast="47" xr6:coauthVersionMax="47" xr10:uidLastSave="{00000000-0000-0000-0000-000000000000}"/>
  <bookViews>
    <workbookView xWindow="2784" yWindow="3828" windowWidth="9432" windowHeight="51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0" i="1" l="1"/>
  <c r="B131" i="1"/>
  <c r="B55" i="1"/>
  <c r="B53" i="1"/>
  <c r="G52" i="1"/>
  <c r="D53" i="1" s="1"/>
  <c r="B15" i="1"/>
  <c r="G51" i="1"/>
  <c r="B52" i="1"/>
  <c r="B51" i="1"/>
  <c r="B79" i="1"/>
  <c r="B80" i="1"/>
  <c r="B78" i="1"/>
  <c r="B74" i="1"/>
  <c r="D74" i="1" s="1"/>
  <c r="B71" i="1"/>
  <c r="B65" i="1"/>
  <c r="D65" i="1" s="1"/>
  <c r="B66" i="1" s="1"/>
  <c r="B19" i="1"/>
  <c r="B70" i="1"/>
  <c r="D70" i="1" s="1"/>
  <c r="D32" i="1"/>
  <c r="H52" i="1" l="1"/>
  <c r="D45" i="1"/>
  <c r="B46" i="1" s="1"/>
  <c r="B47" i="1" s="1"/>
  <c r="B23" i="1"/>
  <c r="I19" i="1"/>
  <c r="B16" i="1" s="1"/>
  <c r="B20" i="1" s="1"/>
  <c r="B17" i="1" l="1"/>
  <c r="F39" i="1"/>
  <c r="B9" i="1"/>
  <c r="B7" i="1"/>
  <c r="H19" i="1"/>
  <c r="G19" i="1"/>
  <c r="F19" i="1"/>
  <c r="D15" i="1"/>
  <c r="B57" i="1" l="1"/>
  <c r="B26" i="1"/>
  <c r="B27" i="1" s="1"/>
  <c r="B34" i="1" s="1"/>
  <c r="D34" i="1" s="1"/>
  <c r="B59" i="1"/>
  <c r="B29" i="1"/>
  <c r="D29" i="1" s="1"/>
  <c r="D52" i="1"/>
  <c r="B43" i="1"/>
  <c r="D43" i="1" s="1"/>
  <c r="B54" i="1"/>
  <c r="B48" i="1"/>
  <c r="B28" i="1" l="1"/>
  <c r="D28" i="1" s="1"/>
  <c r="B49" i="1"/>
  <c r="D49" i="1" s="1"/>
  <c r="E48" i="1"/>
</calcChain>
</file>

<file path=xl/sharedStrings.xml><?xml version="1.0" encoding="utf-8"?>
<sst xmlns="http://schemas.openxmlformats.org/spreadsheetml/2006/main" count="196" uniqueCount="124">
  <si>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</si>
  <si>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</si>
  <si>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</si>
  <si>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</si>
  <si>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</si>
  <si>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</si>
  <si>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</si>
  <si>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</si>
  <si>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</si>
  <si>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</si>
  <si>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</si>
  <si>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</si>
  <si>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</si>
  <si>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</si>
  <si>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</si>
  <si>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</si>
  <si>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</si>
  <si>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</si>
  <si>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</si>
  <si>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</si>
  <si>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</si>
  <si>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</si>
  <si>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</si>
  <si>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</si>
  <si>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</si>
  <si>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</si>
  <si>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</si>
  <si>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</si>
  <si>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</si>
  <si>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</si>
  <si>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</si>
  <si>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</si>
  <si>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</si>
  <si>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</si>
  <si>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A RMS</t>
  </si>
  <si>
    <t>A p2p</t>
  </si>
  <si>
    <t>V p2p</t>
  </si>
  <si>
    <t>M2</t>
  </si>
  <si>
    <t>M1</t>
  </si>
  <si>
    <t>M3</t>
  </si>
  <si>
    <t>M4</t>
  </si>
  <si>
    <t>M5</t>
  </si>
  <si>
    <t xml:space="preserve">Parameters  from Simualtion </t>
  </si>
  <si>
    <t>RCSP</t>
  </si>
  <si>
    <t>P_RMS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</si>
  <si>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</si>
  <si>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</si>
  <si>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</si>
  <si>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</si>
  <si>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</si>
  <si>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</si>
  <si>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</si>
  <si>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</si>
  <si>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</si>
  <si>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</si>
  <si>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</si>
  <si>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</si>
  <si>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</si>
  <si>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</si>
  <si>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</si>
  <si>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</si>
  <si>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</si>
  <si>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</si>
  <si>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</si>
  <si>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</si>
  <si>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</si>
  <si>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</si>
  <si>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</si>
  <si>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</si>
  <si>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R_TAS &amp; R_TAO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</si>
  <si>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</si>
  <si>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</si>
  <si>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</si>
  <si>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</si>
  <si>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</si>
  <si>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</si>
  <si>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</si>
  <si>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</si>
  <si>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</si>
  <si>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</si>
  <si>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</si>
  <si>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</si>
  <si>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</si>
  <si>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</si>
  <si>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</si>
  <si>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</si>
  <si>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</si>
  <si>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</si>
  <si>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</si>
  <si>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</si>
  <si>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</si>
  <si>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</si>
  <si>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</si>
  <si>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</si>
  <si>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</si>
  <si>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IPP200N25N3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</si>
  <si>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</si>
  <si>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</si>
  <si>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</si>
  <si>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</si>
  <si>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</si>
  <si>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</si>
  <si>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</si>
  <si>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</si>
  <si>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</si>
  <si>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C_oss</t>
  </si>
  <si>
    <t>pF</t>
  </si>
  <si>
    <t>C_S_ClampM</t>
  </si>
  <si>
    <t>R_S_ClampM</t>
  </si>
  <si>
    <t>P_R_S</t>
  </si>
  <si>
    <t>V_in</t>
  </si>
  <si>
    <t>I_mag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</si>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</sst>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14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39</xdr:row>
      <xdr:rowOff>0</xdr:rowOff>
    </xdr:from>
    <xdr:to>
      <xdr:col>12</xdr:col>
      <xdr:colOff>512444</xdr:colOff>
      <xdr:row>47</xdr:row>
      <xdr:rowOff>91749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47</xdr:row>
      <xdr:rowOff>114301</xdr:rowOff>
    </xdr:from>
    <xdr:to>
      <xdr:col>12</xdr:col>
      <xdr:colOff>190499</xdr:colOff>
      <xdr:row>50</xdr:row>
      <xdr:rowOff>170421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51</xdr:row>
      <xdr:rowOff>15240</xdr:rowOff>
    </xdr:from>
    <xdr:to>
      <xdr:col>11</xdr:col>
      <xdr:colOff>554903</xdr:colOff>
      <xdr:row>55</xdr:row>
      <xdr:rowOff>57150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8</xdr:col>
      <xdr:colOff>312419</xdr:colOff>
      <xdr:row>60</xdr:row>
      <xdr:rowOff>53340</xdr:rowOff>
    </xdr:from>
    <xdr:to>
      <xdr:col>13</xdr:col>
      <xdr:colOff>244825</xdr:colOff>
      <xdr:row>63</xdr:row>
      <xdr:rowOff>95175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3119" y="9563100"/>
          <a:ext cx="2984217" cy="603810"/>
        </a:xfrm>
        <a:prstGeom prst="rect">
          <a:avLst/>
        </a:prstGeom>
      </xdr:spPr>
    </xdr:pic>
    <xdr:clientData/>
  </xdr:twoCellAnchor>
  <xdr:twoCellAnchor editAs="oneCell">
    <xdr:from>
      <xdr:col>8</xdr:col>
      <xdr:colOff>516777</xdr:colOff>
      <xdr:row>75</xdr:row>
      <xdr:rowOff>22860</xdr:rowOff>
    </xdr:from>
    <xdr:to>
      <xdr:col>11</xdr:col>
      <xdr:colOff>174966</xdr:colOff>
      <xdr:row>76</xdr:row>
      <xdr:rowOff>39964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17477" y="10264140"/>
          <a:ext cx="1490800" cy="199985"/>
        </a:xfrm>
        <a:prstGeom prst="rect">
          <a:avLst/>
        </a:prstGeom>
      </xdr:spPr>
    </xdr:pic>
    <xdr:clientData/>
  </xdr:twoCellAnchor>
  <xdr:twoCellAnchor editAs="oneCell">
    <xdr:from>
      <xdr:col>8</xdr:col>
      <xdr:colOff>487679</xdr:colOff>
      <xdr:row>76</xdr:row>
      <xdr:rowOff>74884</xdr:rowOff>
    </xdr:from>
    <xdr:to>
      <xdr:col>11</xdr:col>
      <xdr:colOff>283844</xdr:colOff>
      <xdr:row>84</xdr:row>
      <xdr:rowOff>133831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8379" y="10499044"/>
          <a:ext cx="1638301" cy="1508651"/>
        </a:xfrm>
        <a:prstGeom prst="rect">
          <a:avLst/>
        </a:prstGeom>
      </xdr:spPr>
    </xdr:pic>
    <xdr:clientData/>
  </xdr:twoCellAnchor>
  <xdr:twoCellAnchor editAs="oneCell">
    <xdr:from>
      <xdr:col>8</xdr:col>
      <xdr:colOff>577215</xdr:colOff>
      <xdr:row>85</xdr:row>
      <xdr:rowOff>31363</xdr:rowOff>
    </xdr:from>
    <xdr:to>
      <xdr:col>12</xdr:col>
      <xdr:colOff>398144</xdr:colOff>
      <xdr:row>94</xdr:row>
      <xdr:rowOff>56637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16015" y="12880588"/>
          <a:ext cx="2270760" cy="1661669"/>
        </a:xfrm>
        <a:prstGeom prst="rect">
          <a:avLst/>
        </a:prstGeom>
      </xdr:spPr>
    </xdr:pic>
    <xdr:clientData/>
  </xdr:twoCellAnchor>
  <xdr:twoCellAnchor editAs="oneCell">
    <xdr:from>
      <xdr:col>4</xdr:col>
      <xdr:colOff>452182</xdr:colOff>
      <xdr:row>68</xdr:row>
      <xdr:rowOff>101803</xdr:rowOff>
    </xdr:from>
    <xdr:to>
      <xdr:col>6</xdr:col>
      <xdr:colOff>17275</xdr:colOff>
      <xdr:row>70</xdr:row>
      <xdr:rowOff>97581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07159" y="12466985"/>
          <a:ext cx="995748" cy="36708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95</xdr:row>
      <xdr:rowOff>49768</xdr:rowOff>
    </xdr:from>
    <xdr:to>
      <xdr:col>37</xdr:col>
      <xdr:colOff>248436</xdr:colOff>
      <xdr:row>125</xdr:row>
      <xdr:rowOff>132897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720" y="17242393"/>
          <a:ext cx="24192381" cy="55161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51955</xdr:rowOff>
    </xdr:from>
    <xdr:to>
      <xdr:col>37</xdr:col>
      <xdr:colOff>402210</xdr:colOff>
      <xdr:row>164</xdr:row>
      <xdr:rowOff>54900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2911955"/>
          <a:ext cx="24274285" cy="553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1"/>
  <sheetViews>
    <sheetView tabSelected="1" topLeftCell="A149" zoomScale="115" zoomScaleNormal="115" workbookViewId="0">
      <selection activeCell="G171" sqref="G170:G171"/>
    </sheetView>
  </sheetViews>
  <sheetFormatPr baseColWidth="10" defaultColWidth="8.88671875" defaultRowHeight="14.4" x14ac:dyDescent="0.3"/>
  <cols>
    <col min="1" max="1" width="17" customWidth="1"/>
    <col min="2" max="2" width="12.6640625" bestFit="1" customWidth="1"/>
    <col min="4" max="4" width="12" bestFit="1" customWidth="1"/>
    <col min="6" max="7" width="12" bestFit="1" customWidth="1"/>
  </cols>
  <sheetData>
    <row r="1" spans="1:10" x14ac:dyDescent="0.3">
      <c r="I1" t="s">
        <v>70</v>
      </c>
    </row>
    <row r="2" spans="1:10" x14ac:dyDescent="0.3">
      <c r="A2" t="s">
        <v>0</v>
      </c>
      <c r="I2" t="s">
        <v>68</v>
      </c>
      <c r="J2" t="s">
        <v>69</v>
      </c>
    </row>
    <row r="3" spans="1:10" x14ac:dyDescent="0.3">
      <c r="A3" t="s">
        <v>1</v>
      </c>
      <c r="B3">
        <v>24</v>
      </c>
      <c r="C3" t="s">
        <v>10</v>
      </c>
      <c r="I3" t="s">
        <v>71</v>
      </c>
    </row>
    <row r="4" spans="1:10" x14ac:dyDescent="0.3">
      <c r="A4" t="s">
        <v>21</v>
      </c>
      <c r="B4">
        <v>960</v>
      </c>
      <c r="C4" t="s">
        <v>20</v>
      </c>
      <c r="I4" t="s">
        <v>72</v>
      </c>
    </row>
    <row r="5" spans="1:10" x14ac:dyDescent="0.3">
      <c r="A5" t="s">
        <v>30</v>
      </c>
      <c r="B5">
        <v>230</v>
      </c>
      <c r="C5" t="s">
        <v>10</v>
      </c>
      <c r="D5" t="s">
        <v>12</v>
      </c>
      <c r="I5" t="s">
        <v>80</v>
      </c>
    </row>
    <row r="6" spans="1:10" x14ac:dyDescent="0.3">
      <c r="A6" t="s">
        <v>31</v>
      </c>
      <c r="B6">
        <v>630</v>
      </c>
      <c r="C6" t="s">
        <v>10</v>
      </c>
      <c r="D6" t="s">
        <v>32</v>
      </c>
    </row>
    <row r="7" spans="1:10" x14ac:dyDescent="0.3">
      <c r="A7" t="s">
        <v>19</v>
      </c>
      <c r="B7">
        <f>B4/B3</f>
        <v>40</v>
      </c>
      <c r="C7" t="s">
        <v>23</v>
      </c>
    </row>
    <row r="9" spans="1:10" x14ac:dyDescent="0.3">
      <c r="A9" t="s">
        <v>3</v>
      </c>
      <c r="B9">
        <f>100*10^3</f>
        <v>100000</v>
      </c>
      <c r="C9" t="s">
        <v>26</v>
      </c>
      <c r="D9" t="s">
        <v>4</v>
      </c>
    </row>
    <row r="10" spans="1:10" x14ac:dyDescent="0.3">
      <c r="A10" t="s">
        <v>81</v>
      </c>
      <c r="B10">
        <v>2</v>
      </c>
      <c r="C10" t="s">
        <v>82</v>
      </c>
    </row>
    <row r="12" spans="1:10" x14ac:dyDescent="0.3">
      <c r="A12" t="s">
        <v>5</v>
      </c>
      <c r="B12">
        <v>0.6</v>
      </c>
      <c r="C12" t="s">
        <v>11</v>
      </c>
      <c r="D12">
        <v>0.7</v>
      </c>
      <c r="E12" t="s">
        <v>6</v>
      </c>
    </row>
    <row r="13" spans="1:10" x14ac:dyDescent="0.3">
      <c r="A13" t="s">
        <v>7</v>
      </c>
      <c r="B13" s="1">
        <v>4.4499999999999998E-2</v>
      </c>
      <c r="D13" t="s">
        <v>8</v>
      </c>
    </row>
    <row r="15" spans="1:10" x14ac:dyDescent="0.3">
      <c r="A15" t="s">
        <v>16</v>
      </c>
      <c r="B15">
        <f>(B5/B3)*B12</f>
        <v>5.75</v>
      </c>
      <c r="C15" t="s">
        <v>2</v>
      </c>
      <c r="D15">
        <f>(B5/B3)*D12</f>
        <v>6.708333333333333</v>
      </c>
    </row>
    <row r="16" spans="1:10" x14ac:dyDescent="0.3">
      <c r="A16" t="s">
        <v>17</v>
      </c>
      <c r="B16" s="3">
        <f>I19</f>
        <v>10.989010989010989</v>
      </c>
    </row>
    <row r="17" spans="1:9" x14ac:dyDescent="0.3">
      <c r="A17" t="s">
        <v>47</v>
      </c>
      <c r="B17" s="3">
        <f>I19/I21</f>
        <v>5.4945054945054945</v>
      </c>
    </row>
    <row r="18" spans="1:9" x14ac:dyDescent="0.3">
      <c r="E18" t="s">
        <v>18</v>
      </c>
      <c r="F18" t="s">
        <v>45</v>
      </c>
      <c r="I18" s="5" t="s">
        <v>45</v>
      </c>
    </row>
    <row r="19" spans="1:9" x14ac:dyDescent="0.3">
      <c r="A19" t="s">
        <v>13</v>
      </c>
      <c r="B19">
        <f>I20</f>
        <v>3900</v>
      </c>
      <c r="C19" t="s">
        <v>15</v>
      </c>
      <c r="E19" t="s">
        <v>9</v>
      </c>
      <c r="F19">
        <f>1/0.083</f>
        <v>12.048192771084336</v>
      </c>
      <c r="G19">
        <f>1/0.182</f>
        <v>5.4945054945054945</v>
      </c>
      <c r="H19">
        <f>1/0.363</f>
        <v>2.7548209366391188</v>
      </c>
      <c r="I19">
        <f>1/0.091</f>
        <v>10.989010989010989</v>
      </c>
    </row>
    <row r="20" spans="1:9" x14ac:dyDescent="0.3">
      <c r="A20" t="s">
        <v>14</v>
      </c>
      <c r="B20" s="3">
        <f>B19/(B16^2)</f>
        <v>32.295899999999996</v>
      </c>
      <c r="C20" t="s">
        <v>15</v>
      </c>
      <c r="E20" t="s">
        <v>13</v>
      </c>
      <c r="F20">
        <v>3100</v>
      </c>
      <c r="G20">
        <v>2600</v>
      </c>
      <c r="H20">
        <v>2600</v>
      </c>
      <c r="I20">
        <v>3900</v>
      </c>
    </row>
    <row r="21" spans="1:9" x14ac:dyDescent="0.3">
      <c r="E21" t="s">
        <v>46</v>
      </c>
      <c r="F21">
        <v>2</v>
      </c>
      <c r="G21">
        <v>1</v>
      </c>
      <c r="H21">
        <v>1</v>
      </c>
      <c r="I21">
        <v>2</v>
      </c>
    </row>
    <row r="22" spans="1:9" x14ac:dyDescent="0.3">
      <c r="A22" t="s">
        <v>51</v>
      </c>
      <c r="B22">
        <v>3</v>
      </c>
      <c r="C22" t="s">
        <v>15</v>
      </c>
    </row>
    <row r="23" spans="1:9" x14ac:dyDescent="0.3">
      <c r="A23" t="s">
        <v>50</v>
      </c>
      <c r="B23">
        <f>1-(B22/B19)</f>
        <v>0.99923076923076926</v>
      </c>
    </row>
    <row r="26" spans="1:9" x14ac:dyDescent="0.3">
      <c r="A26" t="s">
        <v>22</v>
      </c>
      <c r="B26">
        <f>B13*B7</f>
        <v>1.7799999999999998</v>
      </c>
      <c r="C26" t="s">
        <v>23</v>
      </c>
    </row>
    <row r="27" spans="1:9" x14ac:dyDescent="0.3">
      <c r="A27" t="s">
        <v>24</v>
      </c>
      <c r="B27">
        <f>B26*2</f>
        <v>3.5599999999999996</v>
      </c>
      <c r="C27" t="s">
        <v>23</v>
      </c>
    </row>
    <row r="28" spans="1:9" x14ac:dyDescent="0.3">
      <c r="A28" t="s">
        <v>28</v>
      </c>
      <c r="B28" s="2">
        <f>(1-((1/B5)*B17*B3))*1/B27*B3*1/B9</f>
        <v>2.8763615475877321E-5</v>
      </c>
      <c r="C28" t="s">
        <v>27</v>
      </c>
      <c r="D28" s="3">
        <f>B28*10^6</f>
        <v>28.763615475877319</v>
      </c>
      <c r="E28" t="s">
        <v>15</v>
      </c>
    </row>
    <row r="29" spans="1:9" x14ac:dyDescent="0.3">
      <c r="A29" t="s">
        <v>29</v>
      </c>
      <c r="B29" s="2">
        <f>(1-((1/B6)*B17*B3))*1/B27*B3*1/B9</f>
        <v>5.330464078457658E-5</v>
      </c>
      <c r="C29" t="s">
        <v>27</v>
      </c>
      <c r="D29" s="3">
        <f>B29*10^6</f>
        <v>53.304640784576577</v>
      </c>
      <c r="E29" t="s">
        <v>15</v>
      </c>
    </row>
    <row r="30" spans="1:9" x14ac:dyDescent="0.3">
      <c r="A30" t="s">
        <v>25</v>
      </c>
      <c r="B30">
        <v>60</v>
      </c>
      <c r="C30" t="s">
        <v>15</v>
      </c>
      <c r="D30" s="4" t="s">
        <v>48</v>
      </c>
      <c r="E30" t="s">
        <v>33</v>
      </c>
      <c r="F30" t="s">
        <v>49</v>
      </c>
    </row>
    <row r="31" spans="1:9" x14ac:dyDescent="0.3">
      <c r="D31" s="4"/>
    </row>
    <row r="32" spans="1:9" x14ac:dyDescent="0.3">
      <c r="A32" t="s">
        <v>73</v>
      </c>
      <c r="B32" s="8">
        <v>0.01</v>
      </c>
      <c r="C32" t="s">
        <v>74</v>
      </c>
      <c r="D32" s="4">
        <f>B3*B32</f>
        <v>0.24</v>
      </c>
      <c r="E32" t="s">
        <v>75</v>
      </c>
    </row>
    <row r="33" spans="1:8" x14ac:dyDescent="0.3">
      <c r="A33" t="s">
        <v>76</v>
      </c>
      <c r="B33">
        <v>0.2</v>
      </c>
      <c r="D33" s="4"/>
    </row>
    <row r="34" spans="1:8" x14ac:dyDescent="0.3">
      <c r="A34" t="s">
        <v>77</v>
      </c>
      <c r="B34" s="2">
        <f>B27/(8*B9*(D32-B27*B33))</f>
        <v>-9.4279661016949134E-6</v>
      </c>
      <c r="C34" t="s">
        <v>64</v>
      </c>
      <c r="D34" s="9">
        <f>-B34*10^6</f>
        <v>9.4279661016949134</v>
      </c>
      <c r="E34" t="s">
        <v>78</v>
      </c>
      <c r="F34" t="s">
        <v>79</v>
      </c>
    </row>
    <row r="36" spans="1:8" x14ac:dyDescent="0.3">
      <c r="A36" t="s">
        <v>42</v>
      </c>
    </row>
    <row r="37" spans="1:8" x14ac:dyDescent="0.3">
      <c r="B37" t="s">
        <v>38</v>
      </c>
      <c r="C37" t="s">
        <v>37</v>
      </c>
      <c r="D37" t="s">
        <v>39</v>
      </c>
      <c r="E37" t="s">
        <v>40</v>
      </c>
      <c r="F37" t="s">
        <v>41</v>
      </c>
      <c r="G37" t="s">
        <v>43</v>
      </c>
    </row>
    <row r="38" spans="1:8" x14ac:dyDescent="0.3">
      <c r="A38" t="s">
        <v>34</v>
      </c>
      <c r="B38">
        <v>4.1100000000000003</v>
      </c>
      <c r="C38">
        <v>22.3</v>
      </c>
      <c r="D38">
        <v>35.799999999999997</v>
      </c>
      <c r="E38">
        <v>0</v>
      </c>
      <c r="F38">
        <v>6.6000000000000003E-2</v>
      </c>
      <c r="G38">
        <v>35</v>
      </c>
      <c r="H38" t="s">
        <v>23</v>
      </c>
    </row>
    <row r="39" spans="1:8" x14ac:dyDescent="0.3">
      <c r="A39" t="s">
        <v>35</v>
      </c>
      <c r="B39">
        <v>57</v>
      </c>
      <c r="C39">
        <v>315</v>
      </c>
      <c r="D39">
        <v>278</v>
      </c>
      <c r="E39">
        <v>6.5</v>
      </c>
      <c r="F39">
        <f>360*10^-3</f>
        <v>0.36</v>
      </c>
      <c r="G39">
        <v>290</v>
      </c>
      <c r="H39" t="s">
        <v>23</v>
      </c>
    </row>
    <row r="40" spans="1:8" x14ac:dyDescent="0.3">
      <c r="A40" t="s">
        <v>36</v>
      </c>
      <c r="B40">
        <v>770</v>
      </c>
      <c r="C40">
        <v>41</v>
      </c>
      <c r="D40">
        <v>100</v>
      </c>
      <c r="E40">
        <v>775</v>
      </c>
      <c r="F40">
        <v>660</v>
      </c>
      <c r="H40" t="s">
        <v>10</v>
      </c>
    </row>
    <row r="41" spans="1:8" x14ac:dyDescent="0.3">
      <c r="A41" t="s">
        <v>44</v>
      </c>
      <c r="G41">
        <v>2.5</v>
      </c>
      <c r="H41" t="s">
        <v>20</v>
      </c>
    </row>
    <row r="43" spans="1:8" x14ac:dyDescent="0.3">
      <c r="A43" t="s">
        <v>52</v>
      </c>
      <c r="B43">
        <f>(B17*96*10^-3)/(0.5*B27*B7*1.3)</f>
        <v>5.6987092423566059E-3</v>
      </c>
      <c r="C43" t="s">
        <v>53</v>
      </c>
      <c r="D43">
        <f>B43*10^3</f>
        <v>5.6987092423566059</v>
      </c>
      <c r="E43" t="s">
        <v>54</v>
      </c>
    </row>
    <row r="45" spans="1:8" x14ac:dyDescent="0.3">
      <c r="A45" t="s">
        <v>56</v>
      </c>
      <c r="B45">
        <v>1</v>
      </c>
      <c r="C45" t="s">
        <v>57</v>
      </c>
      <c r="D45">
        <f>B45*10^6</f>
        <v>1000000</v>
      </c>
      <c r="E45" t="s">
        <v>53</v>
      </c>
    </row>
    <row r="46" spans="1:8" x14ac:dyDescent="0.3">
      <c r="A46" t="s">
        <v>58</v>
      </c>
      <c r="B46" s="7">
        <f>(D45*((1/((B5/1.25)-1))+1))/(B6/1.25)</f>
        <v>1994.9692080839623</v>
      </c>
      <c r="C46" t="s">
        <v>53</v>
      </c>
    </row>
    <row r="47" spans="1:8" x14ac:dyDescent="0.3">
      <c r="A47" t="s">
        <v>59</v>
      </c>
      <c r="B47" s="7">
        <f>B46*((B6/1.25)-1)-D45</f>
        <v>3469.5116662330693</v>
      </c>
      <c r="C47" t="s">
        <v>53</v>
      </c>
    </row>
    <row r="48" spans="1:8" x14ac:dyDescent="0.3">
      <c r="A48" t="s">
        <v>60</v>
      </c>
      <c r="B48">
        <f>(B5/D45)/((1/(B46+B47))+(1/D45))</f>
        <v>1.2500000000000209</v>
      </c>
      <c r="C48" t="s">
        <v>10</v>
      </c>
      <c r="D48" t="s">
        <v>61</v>
      </c>
      <c r="E48">
        <f>(B6/D45)/((1/(B46+B47))+(1/D45))</f>
        <v>3.423913043478318</v>
      </c>
      <c r="F48" t="s">
        <v>10</v>
      </c>
    </row>
    <row r="49" spans="1:9" x14ac:dyDescent="0.3">
      <c r="A49" t="s">
        <v>55</v>
      </c>
      <c r="B49" s="7">
        <f>(D12/(0.725*((B9/1000)/300)*(1.25/B48)))*51.1*10^3</f>
        <v>148013.79310345076</v>
      </c>
      <c r="C49" t="s">
        <v>53</v>
      </c>
      <c r="D49" s="7">
        <f>B49*10^-3</f>
        <v>148.01379310345078</v>
      </c>
      <c r="E49" t="s">
        <v>62</v>
      </c>
      <c r="F49" s="7"/>
    </row>
    <row r="51" spans="1:9" x14ac:dyDescent="0.3">
      <c r="A51" t="s">
        <v>7</v>
      </c>
      <c r="B51" s="6">
        <f>(B3/B6)*B17</f>
        <v>0.20931449502878077</v>
      </c>
      <c r="F51" t="s">
        <v>111</v>
      </c>
      <c r="G51">
        <f>(B6*B51)/(B19*10^-6*B9)</f>
        <v>0.33812341504649202</v>
      </c>
    </row>
    <row r="52" spans="1:9" x14ac:dyDescent="0.3">
      <c r="A52" t="s">
        <v>63</v>
      </c>
      <c r="B52">
        <f>(10*(1-B51)^2)/(B19*(2*PI()*(B9/1000))^2)</f>
        <v>4.0605345564331669E-9</v>
      </c>
      <c r="C52" t="s">
        <v>64</v>
      </c>
      <c r="D52">
        <f>B52*10^9</f>
        <v>4.0605345564331667</v>
      </c>
      <c r="E52" t="s">
        <v>65</v>
      </c>
      <c r="F52" t="s">
        <v>63</v>
      </c>
      <c r="G52">
        <f>(G51*(1-B51)^2)/(1.6*B6*B9)</f>
        <v>2.0971151087884987E-9</v>
      </c>
      <c r="H52">
        <f>G52*10^9</f>
        <v>2.0971151087884987</v>
      </c>
      <c r="I52" t="s">
        <v>65</v>
      </c>
    </row>
    <row r="53" spans="1:9" x14ac:dyDescent="0.3">
      <c r="A53" t="s">
        <v>66</v>
      </c>
      <c r="B53">
        <f>6*B52</f>
        <v>2.4363207338599E-8</v>
      </c>
      <c r="C53" t="s">
        <v>64</v>
      </c>
      <c r="D53">
        <f>B53*10^9</f>
        <v>24.363207338599</v>
      </c>
      <c r="E53" t="s">
        <v>65</v>
      </c>
    </row>
    <row r="54" spans="1:9" x14ac:dyDescent="0.3">
      <c r="A54" t="s">
        <v>5</v>
      </c>
      <c r="B54">
        <f>(B3/B5)*B17</f>
        <v>0.5733397037744864</v>
      </c>
    </row>
    <row r="55" spans="1:9" x14ac:dyDescent="0.3">
      <c r="A55" t="s">
        <v>67</v>
      </c>
      <c r="B55">
        <f>(1/(1-B54))*SQRT(B19*10^-6/B52)</f>
        <v>2296.9866312323384</v>
      </c>
      <c r="C55" t="s">
        <v>53</v>
      </c>
    </row>
    <row r="57" spans="1:9" x14ac:dyDescent="0.3">
      <c r="A57" t="s">
        <v>83</v>
      </c>
      <c r="B57">
        <f>(1.2/(B9/B10))*22.1*10^6</f>
        <v>530.40000000000009</v>
      </c>
      <c r="C57" t="s">
        <v>62</v>
      </c>
    </row>
    <row r="59" spans="1:9" x14ac:dyDescent="0.3">
      <c r="A59" t="s">
        <v>93</v>
      </c>
      <c r="B59">
        <f>B6*(1/B17)*2</f>
        <v>229.32</v>
      </c>
      <c r="C59" t="s">
        <v>10</v>
      </c>
      <c r="D59" t="s">
        <v>94</v>
      </c>
    </row>
    <row r="62" spans="1:9" x14ac:dyDescent="0.3">
      <c r="A62" t="s">
        <v>85</v>
      </c>
      <c r="B62">
        <v>4.5</v>
      </c>
      <c r="C62" t="s">
        <v>23</v>
      </c>
      <c r="D62" t="s">
        <v>101</v>
      </c>
    </row>
    <row r="64" spans="1:9" x14ac:dyDescent="0.3">
      <c r="A64" t="s">
        <v>86</v>
      </c>
      <c r="B64">
        <v>1.7500000000000002E-2</v>
      </c>
      <c r="C64" t="s">
        <v>53</v>
      </c>
      <c r="D64" t="s">
        <v>95</v>
      </c>
    </row>
    <row r="65" spans="1:8" x14ac:dyDescent="0.3">
      <c r="A65" t="s">
        <v>84</v>
      </c>
      <c r="B65">
        <f>B62*B64</f>
        <v>7.8750000000000014E-2</v>
      </c>
      <c r="C65" t="s">
        <v>10</v>
      </c>
      <c r="D65">
        <f>B65*10^3</f>
        <v>78.750000000000014</v>
      </c>
      <c r="E65" t="s">
        <v>87</v>
      </c>
      <c r="F65" t="s">
        <v>96</v>
      </c>
      <c r="G65" t="s">
        <v>98</v>
      </c>
    </row>
    <row r="66" spans="1:8" x14ac:dyDescent="0.3">
      <c r="A66" t="s">
        <v>100</v>
      </c>
      <c r="B66">
        <f>D65*1.2</f>
        <v>94.500000000000014</v>
      </c>
      <c r="C66" t="s">
        <v>87</v>
      </c>
    </row>
    <row r="68" spans="1:8" x14ac:dyDescent="0.3">
      <c r="A68" t="s">
        <v>89</v>
      </c>
      <c r="B68">
        <v>320</v>
      </c>
      <c r="C68" t="s">
        <v>91</v>
      </c>
      <c r="D68" t="s">
        <v>95</v>
      </c>
    </row>
    <row r="69" spans="1:8" x14ac:dyDescent="0.3">
      <c r="A69" t="s">
        <v>90</v>
      </c>
      <c r="B69">
        <v>250</v>
      </c>
      <c r="C69" t="s">
        <v>10</v>
      </c>
      <c r="D69" t="s">
        <v>95</v>
      </c>
    </row>
    <row r="70" spans="1:8" x14ac:dyDescent="0.3">
      <c r="A70" t="s">
        <v>88</v>
      </c>
      <c r="B70">
        <f>B64*SQRT(2*B68*10^-3*((1.3*B69-B3)/(1.3*B69*B30*10^-6)))</f>
        <v>1.7393780202807836</v>
      </c>
      <c r="C70" t="s">
        <v>10</v>
      </c>
      <c r="D70">
        <f t="shared" ref="D70" si="0">B70*10^3</f>
        <v>1739.3780202807836</v>
      </c>
      <c r="E70" t="s">
        <v>87</v>
      </c>
    </row>
    <row r="71" spans="1:8" x14ac:dyDescent="0.3">
      <c r="A71" t="s">
        <v>102</v>
      </c>
      <c r="B71">
        <f>B70/B64</f>
        <v>99.393029730330483</v>
      </c>
      <c r="C71" t="s">
        <v>23</v>
      </c>
    </row>
    <row r="73" spans="1:8" x14ac:dyDescent="0.3">
      <c r="A73" t="s">
        <v>92</v>
      </c>
      <c r="B73">
        <v>1000</v>
      </c>
      <c r="C73" t="s">
        <v>53</v>
      </c>
      <c r="D73" t="s">
        <v>99</v>
      </c>
    </row>
    <row r="74" spans="1:8" x14ac:dyDescent="0.3">
      <c r="A74" t="s">
        <v>97</v>
      </c>
      <c r="B74">
        <f>((B73*40*10^-6)+66*10^-3)/B71</f>
        <v>1.0664731751068995E-3</v>
      </c>
      <c r="C74" t="s">
        <v>53</v>
      </c>
      <c r="D74">
        <f>B74*10^3</f>
        <v>1.0664731751068994</v>
      </c>
      <c r="E74" t="s">
        <v>54</v>
      </c>
      <c r="F74">
        <v>1.2</v>
      </c>
      <c r="G74" t="s">
        <v>103</v>
      </c>
      <c r="H74" t="s">
        <v>104</v>
      </c>
    </row>
    <row r="76" spans="1:8" x14ac:dyDescent="0.3">
      <c r="A76" t="s">
        <v>105</v>
      </c>
      <c r="B76">
        <v>395</v>
      </c>
      <c r="C76" t="s">
        <v>106</v>
      </c>
      <c r="D76" t="s">
        <v>95</v>
      </c>
    </row>
    <row r="78" spans="1:8" x14ac:dyDescent="0.3">
      <c r="A78" t="s">
        <v>107</v>
      </c>
      <c r="B78">
        <f>2*B76</f>
        <v>790</v>
      </c>
      <c r="C78" t="s">
        <v>106</v>
      </c>
    </row>
    <row r="79" spans="1:8" x14ac:dyDescent="0.3">
      <c r="A79" t="s">
        <v>108</v>
      </c>
      <c r="B79">
        <f>B59/B71</f>
        <v>2.3072040425991904</v>
      </c>
      <c r="C79" t="s">
        <v>53</v>
      </c>
    </row>
    <row r="80" spans="1:8" x14ac:dyDescent="0.3">
      <c r="A80" t="s">
        <v>109</v>
      </c>
      <c r="B80">
        <f>B78*10^-9*B59^2*B9</f>
        <v>4154.4253295999997</v>
      </c>
      <c r="C80" t="s">
        <v>20</v>
      </c>
    </row>
    <row r="127" spans="1:7" x14ac:dyDescent="0.3">
      <c r="A127" t="s">
        <v>112</v>
      </c>
      <c r="B127">
        <v>32.799999999999997</v>
      </c>
      <c r="C127" t="s">
        <v>23</v>
      </c>
      <c r="D127" t="s">
        <v>117</v>
      </c>
      <c r="E127" t="s">
        <v>110</v>
      </c>
      <c r="F127" t="s">
        <v>118</v>
      </c>
    </row>
    <row r="128" spans="1:7" x14ac:dyDescent="0.3">
      <c r="A128" t="s">
        <v>113</v>
      </c>
      <c r="B128">
        <v>3</v>
      </c>
      <c r="C128" t="s">
        <v>23</v>
      </c>
      <c r="E128" t="s">
        <v>119</v>
      </c>
      <c r="F128">
        <v>39.85</v>
      </c>
      <c r="G128" t="s">
        <v>120</v>
      </c>
    </row>
    <row r="129" spans="1:5" x14ac:dyDescent="0.3">
      <c r="A129" t="s">
        <v>114</v>
      </c>
      <c r="B129">
        <v>1043</v>
      </c>
      <c r="C129" t="s">
        <v>20</v>
      </c>
      <c r="E129" t="s">
        <v>123</v>
      </c>
    </row>
    <row r="130" spans="1:5" x14ac:dyDescent="0.3">
      <c r="A130" t="s">
        <v>115</v>
      </c>
      <c r="B130">
        <v>953</v>
      </c>
      <c r="C130" t="s">
        <v>20</v>
      </c>
    </row>
    <row r="131" spans="1:5" x14ac:dyDescent="0.3">
      <c r="A131" t="s">
        <v>116</v>
      </c>
      <c r="B131" s="6">
        <f>(B130/B129)*100</f>
        <v>91.371045062320235</v>
      </c>
      <c r="C131" t="s">
        <v>122</v>
      </c>
    </row>
    <row r="132" spans="1:5" x14ac:dyDescent="0.3">
      <c r="A132" t="s">
        <v>121</v>
      </c>
      <c r="B132">
        <v>1.6E-2</v>
      </c>
      <c r="C132" t="s">
        <v>10</v>
      </c>
    </row>
    <row r="166" spans="1:7" x14ac:dyDescent="0.3">
      <c r="A166" t="s">
        <v>112</v>
      </c>
      <c r="B166">
        <v>31.3</v>
      </c>
      <c r="C166" t="s">
        <v>23</v>
      </c>
      <c r="D166" t="s">
        <v>117</v>
      </c>
      <c r="E166" t="s">
        <v>110</v>
      </c>
      <c r="F166" t="s">
        <v>118</v>
      </c>
    </row>
    <row r="167" spans="1:7" x14ac:dyDescent="0.3">
      <c r="A167" t="s">
        <v>113</v>
      </c>
      <c r="B167">
        <v>2.84</v>
      </c>
      <c r="C167" t="s">
        <v>23</v>
      </c>
      <c r="E167" t="s">
        <v>119</v>
      </c>
      <c r="F167">
        <v>39.85</v>
      </c>
      <c r="G167" t="s">
        <v>120</v>
      </c>
    </row>
    <row r="168" spans="1:7" x14ac:dyDescent="0.3">
      <c r="A168" t="s">
        <v>114</v>
      </c>
      <c r="B168">
        <v>1001</v>
      </c>
      <c r="C168" t="s">
        <v>20</v>
      </c>
      <c r="E168" t="s">
        <v>123</v>
      </c>
    </row>
    <row r="169" spans="1:7" x14ac:dyDescent="0.3">
      <c r="A169" t="s">
        <v>115</v>
      </c>
      <c r="B169">
        <v>953</v>
      </c>
      <c r="C169" t="s">
        <v>20</v>
      </c>
    </row>
    <row r="170" spans="1:7" x14ac:dyDescent="0.3">
      <c r="A170" t="s">
        <v>116</v>
      </c>
      <c r="B170" s="6">
        <f>(B169/B168)*100</f>
        <v>95.204795204795204</v>
      </c>
      <c r="C170" t="s">
        <v>122</v>
      </c>
    </row>
    <row r="171" spans="1:7" x14ac:dyDescent="0.3">
      <c r="A171" t="s">
        <v>121</v>
      </c>
      <c r="B171">
        <v>1.7999999999999999E-2</v>
      </c>
      <c r="C171" t="s">
        <v>10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Lukas Deeken</cp:lastModifiedBy>
  <dcterms:created xsi:type="dcterms:W3CDTF">2015-06-05T18:19:34Z</dcterms:created>
  <dcterms:modified xsi:type="dcterms:W3CDTF">2021-11-29T18:22:24Z</dcterms:modified>
</cp:coreProperties>
</file>