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BR\GIT\HV_DCDC\"/>
    </mc:Choice>
  </mc:AlternateContent>
  <xr:revisionPtr revIDLastSave="0" documentId="13_ncr:1_{5C04A78E-BEF6-4E8A-B0AA-1C49B896F30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1" l="1"/>
  <c r="B107" i="1"/>
  <c r="B93" i="1"/>
  <c r="B92" i="1"/>
  <c r="B106" i="1"/>
  <c r="B135" i="1"/>
  <c r="E133" i="1" s="1"/>
  <c r="E134" i="1" s="1"/>
  <c r="B136" i="1" s="1"/>
  <c r="B116" i="1"/>
  <c r="E114" i="1" s="1"/>
  <c r="E115" i="1" s="1"/>
  <c r="B117" i="1" s="1"/>
  <c r="B79" i="1"/>
  <c r="E77" i="1" s="1"/>
  <c r="E78" i="1" s="1"/>
  <c r="B80" i="1" s="1"/>
  <c r="D19" i="1"/>
  <c r="B52" i="2"/>
  <c r="B19" i="1"/>
  <c r="B28" i="2"/>
  <c r="B29" i="2"/>
  <c r="B30" i="2" s="1"/>
  <c r="AF86" i="2"/>
  <c r="B95" i="2"/>
  <c r="B71" i="2"/>
  <c r="B68" i="2"/>
  <c r="D68" i="2" s="1"/>
  <c r="D34" i="2"/>
  <c r="B9" i="2"/>
  <c r="B21" i="2"/>
  <c r="B96" i="2"/>
  <c r="B83" i="2"/>
  <c r="B82" i="2"/>
  <c r="Y86" i="2" s="1"/>
  <c r="B58" i="2"/>
  <c r="B64" i="2" s="1"/>
  <c r="B65" i="2" s="1"/>
  <c r="D40" i="2"/>
  <c r="B41" i="2" s="1"/>
  <c r="B42" i="2" s="1"/>
  <c r="I21" i="2"/>
  <c r="B19" i="2" s="1"/>
  <c r="H21" i="2"/>
  <c r="G21" i="2"/>
  <c r="F21" i="2"/>
  <c r="D17" i="2"/>
  <c r="B17" i="2"/>
  <c r="B7" i="2"/>
  <c r="B70" i="1"/>
  <c r="B60" i="1"/>
  <c r="B61" i="1" s="1"/>
  <c r="D61" i="1" s="1"/>
  <c r="B62" i="1" s="1"/>
  <c r="B73" i="1"/>
  <c r="B127" i="1"/>
  <c r="B126" i="1"/>
  <c r="B104" i="1"/>
  <c r="B103" i="1"/>
  <c r="D36" i="1"/>
  <c r="S69" i="1"/>
  <c r="S49" i="1"/>
  <c r="B23" i="1"/>
  <c r="B94" i="1" l="1"/>
  <c r="AO75" i="2"/>
  <c r="AF88" i="2"/>
  <c r="AN86" i="2"/>
  <c r="AL75" i="2"/>
  <c r="AO31" i="2"/>
  <c r="S75" i="2"/>
  <c r="AM86" i="2"/>
  <c r="AK75" i="2"/>
  <c r="R86" i="2"/>
  <c r="AL86" i="2"/>
  <c r="AJ75" i="2"/>
  <c r="K86" i="2"/>
  <c r="AK86" i="2"/>
  <c r="AI75" i="2"/>
  <c r="AJ30" i="2"/>
  <c r="W86" i="2"/>
  <c r="AJ86" i="2"/>
  <c r="AH75" i="2"/>
  <c r="D59" i="2"/>
  <c r="B60" i="2" s="1"/>
  <c r="AI86" i="2"/>
  <c r="AG75" i="2"/>
  <c r="AM75" i="2"/>
  <c r="B55" i="2"/>
  <c r="AH86" i="2"/>
  <c r="AF75" i="2"/>
  <c r="AI31" i="2"/>
  <c r="AN75" i="2"/>
  <c r="AO86" i="2"/>
  <c r="B59" i="2"/>
  <c r="AG86" i="2"/>
  <c r="B43" i="2"/>
  <c r="B49" i="2"/>
  <c r="T75" i="2"/>
  <c r="S86" i="2"/>
  <c r="X86" i="2"/>
  <c r="V75" i="2"/>
  <c r="R75" i="2"/>
  <c r="Q86" i="2"/>
  <c r="V86" i="2"/>
  <c r="AE30" i="2"/>
  <c r="Q75" i="2"/>
  <c r="P86" i="2"/>
  <c r="AE75" i="2"/>
  <c r="P75" i="2"/>
  <c r="O86" i="2"/>
  <c r="AD75" i="2"/>
  <c r="AC30" i="2"/>
  <c r="O75" i="2"/>
  <c r="N86" i="2"/>
  <c r="AE86" i="2"/>
  <c r="AC75" i="2"/>
  <c r="N75" i="2"/>
  <c r="M86" i="2"/>
  <c r="L30" i="2"/>
  <c r="AD86" i="2"/>
  <c r="AB75" i="2"/>
  <c r="M75" i="2"/>
  <c r="L86" i="2"/>
  <c r="AC86" i="2"/>
  <c r="AA75" i="2"/>
  <c r="Z30" i="2"/>
  <c r="B25" i="2"/>
  <c r="B44" i="2"/>
  <c r="L75" i="2"/>
  <c r="AB86" i="2"/>
  <c r="Z75" i="2"/>
  <c r="B38" i="2"/>
  <c r="D38" i="2" s="1"/>
  <c r="B75" i="2"/>
  <c r="K88" i="2"/>
  <c r="AA86" i="2"/>
  <c r="Y75" i="2"/>
  <c r="B86" i="2"/>
  <c r="Q31" i="2"/>
  <c r="K75" i="2"/>
  <c r="U86" i="2"/>
  <c r="U87" i="2"/>
  <c r="Z86" i="2"/>
  <c r="X75" i="2"/>
  <c r="B46" i="2"/>
  <c r="B85" i="2"/>
  <c r="U75" i="2"/>
  <c r="T86" i="2"/>
  <c r="W75" i="2"/>
  <c r="D19" i="2"/>
  <c r="AM87" i="2" s="1"/>
  <c r="B79" i="2"/>
  <c r="B76" i="2" s="1"/>
  <c r="B18" i="2"/>
  <c r="B22" i="2" s="1"/>
  <c r="B66" i="1"/>
  <c r="D66" i="1" s="1"/>
  <c r="D42" i="1"/>
  <c r="B43" i="1" s="1"/>
  <c r="B44" i="1" s="1"/>
  <c r="B27" i="1"/>
  <c r="I23" i="1"/>
  <c r="B20" i="1" s="1"/>
  <c r="B24" i="1" s="1"/>
  <c r="AB31" i="2" l="1"/>
  <c r="M88" i="2"/>
  <c r="AE31" i="2"/>
  <c r="AL44" i="2"/>
  <c r="AM44" i="2"/>
  <c r="AN44" i="2"/>
  <c r="AO44" i="2"/>
  <c r="AI44" i="2"/>
  <c r="AF44" i="2"/>
  <c r="AG44" i="2"/>
  <c r="AH44" i="2"/>
  <c r="AJ44" i="2"/>
  <c r="AK44" i="2"/>
  <c r="AM88" i="2"/>
  <c r="AM89" i="2" s="1"/>
  <c r="AL31" i="2"/>
  <c r="AN87" i="2"/>
  <c r="AN89" i="2" s="1"/>
  <c r="AA31" i="2"/>
  <c r="AE87" i="2"/>
  <c r="AD31" i="2"/>
  <c r="AL88" i="2"/>
  <c r="AI30" i="2"/>
  <c r="AL30" i="2"/>
  <c r="AN30" i="2"/>
  <c r="AB88" i="2"/>
  <c r="AG88" i="2"/>
  <c r="AF87" i="2"/>
  <c r="AF89" i="2" s="1"/>
  <c r="AH88" i="2"/>
  <c r="AH89" i="2" s="1"/>
  <c r="AJ88" i="2"/>
  <c r="AI88" i="2"/>
  <c r="AH87" i="2"/>
  <c r="AH31" i="2"/>
  <c r="AK31" i="2"/>
  <c r="AO88" i="2"/>
  <c r="AN31" i="2"/>
  <c r="AF31" i="2"/>
  <c r="K31" i="2"/>
  <c r="B77" i="2"/>
  <c r="AD87" i="2"/>
  <c r="AD89" i="2" s="1"/>
  <c r="B31" i="2"/>
  <c r="D31" i="2" s="1"/>
  <c r="AG89" i="2"/>
  <c r="X31" i="2"/>
  <c r="W88" i="2"/>
  <c r="AK88" i="2"/>
  <c r="AG87" i="2"/>
  <c r="M30" i="2"/>
  <c r="AJ36" i="2"/>
  <c r="AK36" i="2"/>
  <c r="AL36" i="2"/>
  <c r="AM36" i="2"/>
  <c r="AN36" i="2"/>
  <c r="AO36" i="2"/>
  <c r="AG36" i="2"/>
  <c r="AF36" i="2"/>
  <c r="AH36" i="2"/>
  <c r="AI36" i="2"/>
  <c r="X30" i="2"/>
  <c r="AD88" i="2"/>
  <c r="AC87" i="2"/>
  <c r="K30" i="2"/>
  <c r="AA30" i="2"/>
  <c r="L31" i="2"/>
  <c r="R30" i="2"/>
  <c r="AH30" i="2"/>
  <c r="AL87" i="2"/>
  <c r="AO30" i="2"/>
  <c r="AO87" i="2"/>
  <c r="AG31" i="2"/>
  <c r="AL89" i="2"/>
  <c r="AO89" i="2"/>
  <c r="M31" i="2"/>
  <c r="U31" i="2"/>
  <c r="AD30" i="2"/>
  <c r="S30" i="2"/>
  <c r="S31" i="2"/>
  <c r="AE88" i="2"/>
  <c r="AC31" i="2"/>
  <c r="N88" i="2"/>
  <c r="S88" i="2"/>
  <c r="AJ31" i="2"/>
  <c r="AN88" i="2"/>
  <c r="AK30" i="2"/>
  <c r="Q87" i="2"/>
  <c r="AJ87" i="2"/>
  <c r="AJ89" i="2" s="1"/>
  <c r="AM31" i="2"/>
  <c r="AI87" i="2"/>
  <c r="AK87" i="2"/>
  <c r="AN47" i="2"/>
  <c r="AN50" i="2" s="1"/>
  <c r="AM47" i="2"/>
  <c r="AO47" i="2"/>
  <c r="AK47" i="2"/>
  <c r="AF47" i="2"/>
  <c r="AG47" i="2"/>
  <c r="AH47" i="2"/>
  <c r="AH50" i="2" s="1"/>
  <c r="AI47" i="2"/>
  <c r="AJ47" i="2"/>
  <c r="AL47" i="2"/>
  <c r="AL50" i="2" s="1"/>
  <c r="AK89" i="2"/>
  <c r="W30" i="2"/>
  <c r="Y31" i="2"/>
  <c r="T88" i="2"/>
  <c r="T30" i="2"/>
  <c r="T31" i="2"/>
  <c r="T87" i="2"/>
  <c r="U88" i="2"/>
  <c r="U30" i="2"/>
  <c r="D30" i="2"/>
  <c r="AG30" i="2"/>
  <c r="AI89" i="2"/>
  <c r="AM30" i="2"/>
  <c r="AF30" i="2"/>
  <c r="V87" i="2"/>
  <c r="S87" i="2"/>
  <c r="S89" i="2" s="1"/>
  <c r="V88" i="2"/>
  <c r="X88" i="2"/>
  <c r="X89" i="2" s="1"/>
  <c r="W87" i="2"/>
  <c r="V89" i="2"/>
  <c r="V31" i="2"/>
  <c r="T89" i="2"/>
  <c r="U89" i="2"/>
  <c r="AE89" i="2"/>
  <c r="Y88" i="2"/>
  <c r="X87" i="2"/>
  <c r="W31" i="2"/>
  <c r="AD47" i="2"/>
  <c r="AD50" i="2" s="1"/>
  <c r="O47" i="2"/>
  <c r="AE47" i="2"/>
  <c r="AE50" i="2" s="1"/>
  <c r="P47" i="2"/>
  <c r="Q47" i="2"/>
  <c r="Q50" i="2" s="1"/>
  <c r="R47" i="2"/>
  <c r="B47" i="2"/>
  <c r="B70" i="2"/>
  <c r="M47" i="2"/>
  <c r="V47" i="2"/>
  <c r="V50" i="2" s="1"/>
  <c r="S47" i="2"/>
  <c r="W47" i="2"/>
  <c r="T47" i="2"/>
  <c r="X47" i="2"/>
  <c r="U47" i="2"/>
  <c r="U50" i="2" s="1"/>
  <c r="Y47" i="2"/>
  <c r="K47" i="2"/>
  <c r="AB47" i="2"/>
  <c r="Z47" i="2"/>
  <c r="AA47" i="2"/>
  <c r="AA50" i="2" s="1"/>
  <c r="L47" i="2"/>
  <c r="AC47" i="2"/>
  <c r="N47" i="2"/>
  <c r="Z88" i="2"/>
  <c r="N50" i="2"/>
  <c r="O50" i="2"/>
  <c r="P50" i="2"/>
  <c r="B50" i="2"/>
  <c r="R50" i="2"/>
  <c r="S50" i="2"/>
  <c r="B93" i="2"/>
  <c r="AB50" i="2"/>
  <c r="M50" i="2"/>
  <c r="Z36" i="2"/>
  <c r="Q36" i="2"/>
  <c r="AA36" i="2"/>
  <c r="R36" i="2"/>
  <c r="AB36" i="2"/>
  <c r="S36" i="2"/>
  <c r="AC36" i="2"/>
  <c r="T36" i="2"/>
  <c r="AD36" i="2"/>
  <c r="U36" i="2"/>
  <c r="AE36" i="2"/>
  <c r="K36" i="2"/>
  <c r="B36" i="2"/>
  <c r="D36" i="2" s="1"/>
  <c r="L36" i="2"/>
  <c r="V36" i="2"/>
  <c r="M36" i="2"/>
  <c r="Q30" i="2"/>
  <c r="W36" i="2"/>
  <c r="N36" i="2"/>
  <c r="X36" i="2"/>
  <c r="O36" i="2"/>
  <c r="Y36" i="2"/>
  <c r="P36" i="2"/>
  <c r="P31" i="2"/>
  <c r="K87" i="2"/>
  <c r="K89" i="2" s="1"/>
  <c r="B88" i="2"/>
  <c r="B89" i="2" s="1"/>
  <c r="L88" i="2"/>
  <c r="M87" i="2"/>
  <c r="N87" i="2"/>
  <c r="N89" i="2" s="1"/>
  <c r="N30" i="2"/>
  <c r="N31" i="2"/>
  <c r="Z87" i="2"/>
  <c r="AB87" i="2"/>
  <c r="AB89" i="2" s="1"/>
  <c r="AA87" i="2"/>
  <c r="B87" i="2"/>
  <c r="L87" i="2"/>
  <c r="O88" i="2"/>
  <c r="O30" i="2"/>
  <c r="O31" i="2"/>
  <c r="AB44" i="2"/>
  <c r="P44" i="2"/>
  <c r="AC44" i="2"/>
  <c r="Q44" i="2"/>
  <c r="AD44" i="2"/>
  <c r="R44" i="2"/>
  <c r="AE44" i="2"/>
  <c r="S44" i="2"/>
  <c r="T44" i="2"/>
  <c r="U44" i="2"/>
  <c r="V44" i="2"/>
  <c r="K44" i="2"/>
  <c r="W44" i="2"/>
  <c r="X44" i="2"/>
  <c r="L44" i="2"/>
  <c r="Y44" i="2"/>
  <c r="M44" i="2"/>
  <c r="Z44" i="2"/>
  <c r="N44" i="2"/>
  <c r="AA44" i="2"/>
  <c r="O44" i="2"/>
  <c r="Y87" i="2"/>
  <c r="Y89" i="2" s="1"/>
  <c r="R87" i="2"/>
  <c r="R88" i="2"/>
  <c r="AA88" i="2"/>
  <c r="B91" i="2"/>
  <c r="O87" i="2"/>
  <c r="P88" i="2"/>
  <c r="P30" i="2"/>
  <c r="AC88" i="2"/>
  <c r="AC89" i="2" s="1"/>
  <c r="R31" i="2"/>
  <c r="Z89" i="2"/>
  <c r="Z31" i="2"/>
  <c r="Y30" i="2"/>
  <c r="AB30" i="2"/>
  <c r="W89" i="2"/>
  <c r="P87" i="2"/>
  <c r="P89" i="2" s="1"/>
  <c r="Q88" i="2"/>
  <c r="Q89" i="2" s="1"/>
  <c r="V30" i="2"/>
  <c r="B80" i="2"/>
  <c r="D44" i="2"/>
  <c r="D64" i="2"/>
  <c r="E43" i="2"/>
  <c r="B67" i="1"/>
  <c r="D70" i="1" s="1"/>
  <c r="B21" i="1"/>
  <c r="B9" i="1"/>
  <c r="B7" i="1"/>
  <c r="H23" i="1"/>
  <c r="G23" i="1"/>
  <c r="F23" i="1"/>
  <c r="AI48" i="2" l="1"/>
  <c r="AI92" i="2"/>
  <c r="L89" i="2"/>
  <c r="AG50" i="2"/>
  <c r="AG48" i="2"/>
  <c r="AG92" i="2"/>
  <c r="AF48" i="2"/>
  <c r="AF92" i="2"/>
  <c r="AJ48" i="2"/>
  <c r="AJ92" i="2"/>
  <c r="AK48" i="2"/>
  <c r="AK92" i="2"/>
  <c r="AJ50" i="2"/>
  <c r="AK98" i="2"/>
  <c r="AL98" i="2"/>
  <c r="AM98" i="2"/>
  <c r="AJ98" i="2"/>
  <c r="AN98" i="2"/>
  <c r="AH98" i="2"/>
  <c r="AH106" i="2" s="1"/>
  <c r="AO98" i="2"/>
  <c r="AG98" i="2"/>
  <c r="AG106" i="2" s="1"/>
  <c r="AF98" i="2"/>
  <c r="AI98" i="2"/>
  <c r="AI106" i="2" s="1"/>
  <c r="AO48" i="2"/>
  <c r="AO92" i="2"/>
  <c r="AO50" i="2"/>
  <c r="R89" i="2"/>
  <c r="AM48" i="2"/>
  <c r="AM92" i="2"/>
  <c r="AN48" i="2"/>
  <c r="AN92" i="2"/>
  <c r="AM50" i="2"/>
  <c r="O89" i="2"/>
  <c r="AO72" i="2"/>
  <c r="AN72" i="2"/>
  <c r="AF72" i="2"/>
  <c r="AG72" i="2"/>
  <c r="AH72" i="2"/>
  <c r="AI72" i="2"/>
  <c r="AJ72" i="2"/>
  <c r="AL72" i="2"/>
  <c r="AK72" i="2"/>
  <c r="AM72" i="2"/>
  <c r="AH48" i="2"/>
  <c r="AH92" i="2"/>
  <c r="AF50" i="2"/>
  <c r="M89" i="2"/>
  <c r="AL48" i="2"/>
  <c r="AL92" i="2"/>
  <c r="AI50" i="2"/>
  <c r="AK50" i="2"/>
  <c r="L48" i="2"/>
  <c r="L92" i="2"/>
  <c r="M48" i="2"/>
  <c r="M92" i="2"/>
  <c r="Z48" i="2"/>
  <c r="Z92" i="2"/>
  <c r="Z50" i="2"/>
  <c r="B48" i="2"/>
  <c r="B92" i="2"/>
  <c r="AB48" i="2"/>
  <c r="AB92" i="2"/>
  <c r="R48" i="2"/>
  <c r="R92" i="2"/>
  <c r="AC48" i="2"/>
  <c r="AC92" i="2"/>
  <c r="V98" i="2"/>
  <c r="V106" i="2" s="1"/>
  <c r="U98" i="2"/>
  <c r="W98" i="2"/>
  <c r="W106" i="2" s="1"/>
  <c r="K98" i="2"/>
  <c r="X98" i="2"/>
  <c r="B98" i="2"/>
  <c r="Y98" i="2"/>
  <c r="L98" i="2"/>
  <c r="Z98" i="2"/>
  <c r="M98" i="2"/>
  <c r="S98" i="2"/>
  <c r="AA98" i="2"/>
  <c r="N98" i="2"/>
  <c r="AB98" i="2"/>
  <c r="O98" i="2"/>
  <c r="O106" i="2" s="1"/>
  <c r="AC98" i="2"/>
  <c r="P98" i="2"/>
  <c r="AD98" i="2"/>
  <c r="Q98" i="2"/>
  <c r="AE98" i="2"/>
  <c r="R98" i="2"/>
  <c r="T98" i="2"/>
  <c r="K48" i="2"/>
  <c r="K92" i="2"/>
  <c r="Q48" i="2"/>
  <c r="Q92" i="2"/>
  <c r="Y48" i="2"/>
  <c r="Y92" i="2"/>
  <c r="Y50" i="2"/>
  <c r="P48" i="2"/>
  <c r="P92" i="2"/>
  <c r="AA48" i="2"/>
  <c r="AA92" i="2"/>
  <c r="U48" i="2"/>
  <c r="U92" i="2"/>
  <c r="AE48" i="2"/>
  <c r="AE92" i="2"/>
  <c r="L50" i="2"/>
  <c r="X50" i="2"/>
  <c r="X48" i="2"/>
  <c r="X92" i="2"/>
  <c r="O48" i="2"/>
  <c r="O92" i="2"/>
  <c r="U72" i="2"/>
  <c r="S72" i="2"/>
  <c r="V72" i="2"/>
  <c r="K72" i="2"/>
  <c r="W72" i="2"/>
  <c r="B72" i="2"/>
  <c r="X72" i="2"/>
  <c r="L72" i="2"/>
  <c r="Y72" i="2"/>
  <c r="M72" i="2"/>
  <c r="Z72" i="2"/>
  <c r="N72" i="2"/>
  <c r="AE72" i="2"/>
  <c r="AA72" i="2"/>
  <c r="O72" i="2"/>
  <c r="AB72" i="2"/>
  <c r="P72" i="2"/>
  <c r="AC72" i="2"/>
  <c r="Q72" i="2"/>
  <c r="AD72" i="2"/>
  <c r="R72" i="2"/>
  <c r="T72" i="2"/>
  <c r="K50" i="2"/>
  <c r="AC50" i="2"/>
  <c r="T48" i="2"/>
  <c r="T92" i="2"/>
  <c r="AD92" i="2"/>
  <c r="AD48" i="2"/>
  <c r="W50" i="2"/>
  <c r="W48" i="2"/>
  <c r="W92" i="2"/>
  <c r="V92" i="2"/>
  <c r="V48" i="2"/>
  <c r="AA89" i="2"/>
  <c r="T50" i="2"/>
  <c r="N48" i="2"/>
  <c r="N92" i="2"/>
  <c r="S48" i="2"/>
  <c r="S92" i="2"/>
  <c r="D48" i="2"/>
  <c r="D47" i="2"/>
  <c r="B57" i="1"/>
  <c r="B85" i="1"/>
  <c r="B101" i="1"/>
  <c r="B100" i="1"/>
  <c r="B86" i="1" s="1"/>
  <c r="D21" i="1"/>
  <c r="B48" i="1"/>
  <c r="B54" i="1"/>
  <c r="B30" i="1"/>
  <c r="B31" i="1" s="1"/>
  <c r="B33" i="1" s="1"/>
  <c r="B51" i="1"/>
  <c r="B45" i="1"/>
  <c r="B46" i="1" s="1"/>
  <c r="D33" i="1" l="1"/>
  <c r="AF106" i="2"/>
  <c r="AO106" i="2"/>
  <c r="AA106" i="2"/>
  <c r="R106" i="2"/>
  <c r="AE106" i="2"/>
  <c r="AB106" i="2"/>
  <c r="AN106" i="2"/>
  <c r="Z106" i="2"/>
  <c r="AJ106" i="2"/>
  <c r="AM106" i="2"/>
  <c r="Q106" i="2"/>
  <c r="Y106" i="2"/>
  <c r="AL106" i="2"/>
  <c r="AD106" i="2"/>
  <c r="AK106" i="2"/>
  <c r="X106" i="2"/>
  <c r="L106" i="2"/>
  <c r="AC106" i="2"/>
  <c r="K106" i="2"/>
  <c r="P106" i="2"/>
  <c r="U106" i="2"/>
  <c r="N106" i="2"/>
  <c r="S106" i="2"/>
  <c r="T106" i="2"/>
  <c r="M106" i="2"/>
  <c r="B87" i="1"/>
  <c r="B72" i="1"/>
  <c r="B74" i="1" s="1"/>
  <c r="B76" i="1" s="1"/>
  <c r="B81" i="1" s="1"/>
  <c r="B124" i="1"/>
  <c r="B129" i="1" s="1"/>
  <c r="B108" i="1"/>
  <c r="B122" i="1"/>
  <c r="B49" i="1"/>
  <c r="B52" i="1" s="1"/>
  <c r="B109" i="1"/>
  <c r="B110" i="1" s="1"/>
  <c r="B113" i="1" s="1"/>
  <c r="B118" i="1" s="1"/>
  <c r="B38" i="1"/>
  <c r="D38" i="1" s="1"/>
  <c r="B40" i="1"/>
  <c r="D40" i="1" s="1"/>
  <c r="B32" i="1"/>
  <c r="D32" i="1" s="1"/>
  <c r="D46" i="1"/>
  <c r="E45" i="1"/>
  <c r="B132" i="1" l="1"/>
  <c r="B137" i="1" s="1"/>
  <c r="B50" i="1"/>
  <c r="D50" i="1" s="1"/>
  <c r="B123" i="1"/>
  <c r="D49" i="1"/>
</calcChain>
</file>

<file path=xl/sharedStrings.xml><?xml version="1.0" encoding="utf-8"?>
<sst xmlns="http://schemas.openxmlformats.org/spreadsheetml/2006/main" count="542" uniqueCount="178">
  <si>
    <t>Eingangsparameter</t>
  </si>
  <si>
    <t>V_Out</t>
  </si>
  <si>
    <t>bis</t>
  </si>
  <si>
    <t>F_Osc</t>
  </si>
  <si>
    <t>Referenz design nutz 100Khz</t>
  </si>
  <si>
    <t>D_max</t>
  </si>
  <si>
    <t>Typischer max. Duty Cycle laut datenblatt</t>
  </si>
  <si>
    <t>D_min</t>
  </si>
  <si>
    <t>bei 100Khz (454ns minimale On time)</t>
  </si>
  <si>
    <t>Ü</t>
  </si>
  <si>
    <t>V</t>
  </si>
  <si>
    <t xml:space="preserve">bis </t>
  </si>
  <si>
    <t>2V Entladeschluss</t>
  </si>
  <si>
    <t>H1</t>
  </si>
  <si>
    <t>H2</t>
  </si>
  <si>
    <t>uH</t>
  </si>
  <si>
    <t>Ü_ideal</t>
  </si>
  <si>
    <t>U_real</t>
  </si>
  <si>
    <t>Trafo Optionen</t>
  </si>
  <si>
    <t>I_max</t>
  </si>
  <si>
    <t>W</t>
  </si>
  <si>
    <t>P_Out_max</t>
  </si>
  <si>
    <t xml:space="preserve">I_min </t>
  </si>
  <si>
    <t>A</t>
  </si>
  <si>
    <t>Ripple &lt;</t>
  </si>
  <si>
    <t>L_o</t>
  </si>
  <si>
    <t>hz</t>
  </si>
  <si>
    <t>H</t>
  </si>
  <si>
    <t>L_o (Vmin) &gt;</t>
  </si>
  <si>
    <t>L_o (Vmax) &gt;</t>
  </si>
  <si>
    <t>V_In_min</t>
  </si>
  <si>
    <t>V_In_max</t>
  </si>
  <si>
    <t>4,25V Ladeschluss</t>
  </si>
  <si>
    <t>Coilcraft</t>
  </si>
  <si>
    <t>2pcs</t>
  </si>
  <si>
    <t>anzahl</t>
  </si>
  <si>
    <t>U_real_gesamt</t>
  </si>
  <si>
    <t>AGP4233-153ME</t>
  </si>
  <si>
    <t>4 in reihe</t>
  </si>
  <si>
    <t>K_Factor</t>
  </si>
  <si>
    <t>Leakage Inductance</t>
  </si>
  <si>
    <t>RISense</t>
  </si>
  <si>
    <t>Ohm</t>
  </si>
  <si>
    <t>mOhm</t>
  </si>
  <si>
    <t>RIVSEC</t>
  </si>
  <si>
    <t>R1</t>
  </si>
  <si>
    <t>Mohm</t>
  </si>
  <si>
    <t>R3</t>
  </si>
  <si>
    <t>R2</t>
  </si>
  <si>
    <t>UVLO_Sec_min</t>
  </si>
  <si>
    <t>UVLO_Sec_max</t>
  </si>
  <si>
    <t>kOhm</t>
  </si>
  <si>
    <t>C_CL</t>
  </si>
  <si>
    <t>F</t>
  </si>
  <si>
    <t>nF</t>
  </si>
  <si>
    <t>C_S</t>
  </si>
  <si>
    <t>R_S</t>
  </si>
  <si>
    <t xml:space="preserve">Switch timing ? </t>
  </si>
  <si>
    <t>!todo!</t>
  </si>
  <si>
    <t>Soft start</t>
  </si>
  <si>
    <t>external circuit for shutdown and start</t>
  </si>
  <si>
    <t>Voltage Ripple requrement</t>
  </si>
  <si>
    <t>of Vout</t>
  </si>
  <si>
    <t>V_p2p</t>
  </si>
  <si>
    <t>ESR of C_out</t>
  </si>
  <si>
    <t>C_out_min</t>
  </si>
  <si>
    <t>uF</t>
  </si>
  <si>
    <t>?????</t>
  </si>
  <si>
    <t>große kapazitive last -&gt; strakes schwingen an V-out (comp und FB beachten)</t>
  </si>
  <si>
    <t>Foldback ratio</t>
  </si>
  <si>
    <t>per Datasheet</t>
  </si>
  <si>
    <t>R_Timer</t>
  </si>
  <si>
    <t>V_trip_min</t>
  </si>
  <si>
    <t>I_catch_FET</t>
  </si>
  <si>
    <t>R_DS_on</t>
  </si>
  <si>
    <t>mV</t>
  </si>
  <si>
    <t>V_trip_max Mosfet</t>
  </si>
  <si>
    <t>E_AS</t>
  </si>
  <si>
    <t>V_BR(DSS)</t>
  </si>
  <si>
    <t>mJ</t>
  </si>
  <si>
    <t>R_CSP/R_CSN</t>
  </si>
  <si>
    <t>V_DS_Max Catch Mosfet</t>
  </si>
  <si>
    <t>S=2</t>
  </si>
  <si>
    <t>&gt;=66mv</t>
  </si>
  <si>
    <t>R_sns</t>
  </si>
  <si>
    <t>R_sns req.</t>
  </si>
  <si>
    <t>festgelegt</t>
  </si>
  <si>
    <t>V_trip</t>
  </si>
  <si>
    <t>aus Spice modell</t>
  </si>
  <si>
    <t>I_catch_FET_max</t>
  </si>
  <si>
    <t xml:space="preserve">mOhm </t>
  </si>
  <si>
    <t>gewählt</t>
  </si>
  <si>
    <t>V_in</t>
  </si>
  <si>
    <t>RMS Current Sec.</t>
  </si>
  <si>
    <t>RMS Current Prim</t>
  </si>
  <si>
    <t>Total Power In</t>
  </si>
  <si>
    <t>Toral Power Out</t>
  </si>
  <si>
    <t>Total Eff.</t>
  </si>
  <si>
    <t>@</t>
  </si>
  <si>
    <t>260V</t>
  </si>
  <si>
    <t xml:space="preserve">I_Out </t>
  </si>
  <si>
    <t>ARMS</t>
  </si>
  <si>
    <t>V_Ripp</t>
  </si>
  <si>
    <t>%</t>
  </si>
  <si>
    <t>Without Leakage Inductance</t>
  </si>
  <si>
    <t>Catch Mosfet and V_Trip</t>
  </si>
  <si>
    <t>Clamp Capacitance and Snubber</t>
  </si>
  <si>
    <t>Output Inductance and Capacitance</t>
  </si>
  <si>
    <t>Transformer</t>
  </si>
  <si>
    <t>Generall</t>
  </si>
  <si>
    <t>Calculated Value</t>
  </si>
  <si>
    <t>Input</t>
  </si>
  <si>
    <t>Active Clamp Mosfet</t>
  </si>
  <si>
    <t>Primary Mosfet</t>
  </si>
  <si>
    <t>P_I_Mag</t>
  </si>
  <si>
    <t>I_D_Max</t>
  </si>
  <si>
    <t>V_Max</t>
  </si>
  <si>
    <t>equal to primary</t>
  </si>
  <si>
    <t>BV_DSS_min</t>
  </si>
  <si>
    <t>I_SD_max</t>
  </si>
  <si>
    <t>P_Conduction</t>
  </si>
  <si>
    <t>P_Gatedriver</t>
  </si>
  <si>
    <t>Q_G</t>
  </si>
  <si>
    <t>INT_VCC</t>
  </si>
  <si>
    <t>nC</t>
  </si>
  <si>
    <t>C</t>
  </si>
  <si>
    <t>P_Turn_off</t>
  </si>
  <si>
    <t>P_Turn_on</t>
  </si>
  <si>
    <t>Q_GD</t>
  </si>
  <si>
    <t>P_M1_max</t>
  </si>
  <si>
    <t>NP/NS</t>
  </si>
  <si>
    <t>NS/NP</t>
  </si>
  <si>
    <t>UJ3C120150K3S</t>
  </si>
  <si>
    <t>STF7N105K5</t>
  </si>
  <si>
    <t>Forward Mosfet</t>
  </si>
  <si>
    <t>V_DS_Max</t>
  </si>
  <si>
    <t>Resonant Case</t>
  </si>
  <si>
    <t>Active clamp Case</t>
  </si>
  <si>
    <t>I_DS_max</t>
  </si>
  <si>
    <t>P_M_Forward</t>
  </si>
  <si>
    <t>P_M_catch</t>
  </si>
  <si>
    <t>IPP019N08NF2SAKMA1</t>
  </si>
  <si>
    <t>Gewählt</t>
  </si>
  <si>
    <t xml:space="preserve">IXFK240N25X3 </t>
  </si>
  <si>
    <t>Housekeeping Mosfet</t>
  </si>
  <si>
    <t>Based on refernece design BSP300</t>
  </si>
  <si>
    <t>190mA</t>
  </si>
  <si>
    <t>R_ds_on</t>
  </si>
  <si>
    <t>N_channel</t>
  </si>
  <si>
    <t>V_DS</t>
  </si>
  <si>
    <t>Type</t>
  </si>
  <si>
    <t>I_cont</t>
  </si>
  <si>
    <t>1,85A</t>
  </si>
  <si>
    <t>N_Channel</t>
  </si>
  <si>
    <t>Total losses</t>
  </si>
  <si>
    <t>ohm</t>
  </si>
  <si>
    <t>AGM2222-562</t>
  </si>
  <si>
    <t>t_amb</t>
  </si>
  <si>
    <t>°C</t>
  </si>
  <si>
    <t>R_t_max</t>
  </si>
  <si>
    <t>t_max_mos</t>
  </si>
  <si>
    <t>K/W</t>
  </si>
  <si>
    <t>R_thJC</t>
  </si>
  <si>
    <t>R_thCS</t>
  </si>
  <si>
    <t>A-sink</t>
  </si>
  <si>
    <t>mm^2</t>
  </si>
  <si>
    <t>R_thSC</t>
  </si>
  <si>
    <t>R_thCA_max</t>
  </si>
  <si>
    <t>Arctivc Silver 5</t>
  </si>
  <si>
    <t>W/mm^2*K</t>
  </si>
  <si>
    <t>W/K</t>
  </si>
  <si>
    <t>WA-T264-101E</t>
  </si>
  <si>
    <t>geschätzt</t>
  </si>
  <si>
    <t>TO247-3</t>
  </si>
  <si>
    <t>RA-T2X-38E</t>
  </si>
  <si>
    <t>TO264-3</t>
  </si>
  <si>
    <t>TO220-3</t>
  </si>
  <si>
    <t>WA-T220-101E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</si>
</sst>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Libre Franklin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1" fillId="0" borderId="0" xfId="0" applyFont="1"/>
    <xf numFmtId="18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164" fontId="0" fillId="3" borderId="0" xfId="0" applyNumberFormat="1" applyFill="1"/>
    <xf numFmtId="11" fontId="0" fillId="3" borderId="0" xfId="0" applyNumberFormat="1" applyFill="1"/>
    <xf numFmtId="0" fontId="1" fillId="3" borderId="0" xfId="0" applyFont="1" applyFill="1"/>
    <xf numFmtId="1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9" fontId="0" fillId="4" borderId="0" xfId="0" applyNumberFormat="1" applyFill="1"/>
    <xf numFmtId="164" fontId="1" fillId="4" borderId="0" xfId="0" applyNumberFormat="1" applyFont="1" applyFill="1"/>
    <xf numFmtId="0" fontId="0" fillId="5" borderId="0" xfId="0" applyFill="1"/>
    <xf numFmtId="0" fontId="0" fillId="0" borderId="0" xfId="0" applyFill="1"/>
    <xf numFmtId="165" fontId="0" fillId="0" borderId="0" xfId="0" applyNumberFormat="1"/>
    <xf numFmtId="165" fontId="0" fillId="5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165" fontId="0" fillId="4" borderId="0" xfId="0" applyNumberFormat="1" applyFill="1"/>
    <xf numFmtId="11" fontId="0" fillId="0" borderId="0" xfId="0" applyNumberFormat="1" applyFill="1"/>
    <xf numFmtId="2" fontId="0" fillId="0" borderId="0" xfId="0" applyNumberFormat="1" applyFill="1"/>
    <xf numFmtId="11" fontId="0" fillId="5" borderId="0" xfId="0" applyNumberFormat="1" applyFill="1"/>
    <xf numFmtId="11" fontId="0" fillId="6" borderId="0" xfId="0" applyNumberFormat="1" applyFill="1"/>
    <xf numFmtId="2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65" fontId="0" fillId="6" borderId="0" xfId="0" applyNumberFormat="1" applyFill="1"/>
    <xf numFmtId="0" fontId="0" fillId="6" borderId="0" xfId="0" applyNumberFormat="1" applyFill="1"/>
    <xf numFmtId="166" fontId="0" fillId="0" borderId="0" xfId="0" applyNumberFormat="1"/>
    <xf numFmtId="0" fontId="0" fillId="7" borderId="0" xfId="0" applyFill="1"/>
    <xf numFmtId="166" fontId="0" fillId="7" borderId="0" xfId="0" applyNumberFormat="1" applyFill="1"/>
    <xf numFmtId="1" fontId="0" fillId="7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0" fontId="0" fillId="7" borderId="0" xfId="0" applyNumberFormat="1" applyFill="1"/>
    <xf numFmtId="1" fontId="0" fillId="0" borderId="0" xfId="0" applyNumberFormat="1" applyFill="1"/>
    <xf numFmtId="0" fontId="3" fillId="0" borderId="0" xfId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Tabelle2!$A$31</c:f>
              <c:strCache>
                <c:ptCount val="1"/>
                <c:pt idx="0">
                  <c:v>L_o (Vmax) 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Tabelle2!$K$9:$AO$9</c:f>
              <c:numCache>
                <c:formatCode>General</c:formatCode>
                <c:ptCount val="3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</c:numCache>
            </c:numRef>
          </c:cat>
          <c:val>
            <c:numRef>
              <c:f>Tabelle2!$K$31:$AO$31</c:f>
              <c:numCache>
                <c:formatCode>0.0</c:formatCode>
                <c:ptCount val="31"/>
                <c:pt idx="0">
                  <c:v>11.86028257456829</c:v>
                </c:pt>
                <c:pt idx="1">
                  <c:v>10.782075067789352</c:v>
                </c:pt>
                <c:pt idx="2">
                  <c:v>9.8835688121402399</c:v>
                </c:pt>
                <c:pt idx="3">
                  <c:v>9.1232942881294523</c:v>
                </c:pt>
                <c:pt idx="4">
                  <c:v>8.4716304104059201</c:v>
                </c:pt>
                <c:pt idx="5">
                  <c:v>7.9068550497121919</c:v>
                </c:pt>
                <c:pt idx="6">
                  <c:v>7.4126766091051799</c:v>
                </c:pt>
                <c:pt idx="7">
                  <c:v>6.9766368085695811</c:v>
                </c:pt>
                <c:pt idx="8">
                  <c:v>6.5890458747601608</c:v>
                </c:pt>
                <c:pt idx="9">
                  <c:v>6.2422539866148883</c:v>
                </c:pt>
                <c:pt idx="10">
                  <c:v>5.9301412872841448</c:v>
                </c:pt>
                <c:pt idx="11">
                  <c:v>5.6477536069372798</c:v>
                </c:pt>
                <c:pt idx="12">
                  <c:v>5.3910375338946759</c:v>
                </c:pt>
                <c:pt idx="13">
                  <c:v>5.1566445976383868</c:v>
                </c:pt>
                <c:pt idx="14">
                  <c:v>4.9417844060701199</c:v>
                </c:pt>
                <c:pt idx="15">
                  <c:v>4.7441130298273153</c:v>
                </c:pt>
                <c:pt idx="16">
                  <c:v>4.5616471440647262</c:v>
                </c:pt>
                <c:pt idx="17">
                  <c:v>4.3926972498401069</c:v>
                </c:pt>
                <c:pt idx="18">
                  <c:v>4.2358152052029601</c:v>
                </c:pt>
                <c:pt idx="19">
                  <c:v>4.0897526119200993</c:v>
                </c:pt>
                <c:pt idx="20">
                  <c:v>3.9534275248560959</c:v>
                </c:pt>
                <c:pt idx="21">
                  <c:v>3.8258976046994477</c:v>
                </c:pt>
                <c:pt idx="22">
                  <c:v>3.7063383045525899</c:v>
                </c:pt>
                <c:pt idx="23">
                  <c:v>3.5940250225964512</c:v>
                </c:pt>
                <c:pt idx="24">
                  <c:v>3.4883184042847906</c:v>
                </c:pt>
                <c:pt idx="25">
                  <c:v>3.3886521641623681</c:v>
                </c:pt>
                <c:pt idx="26">
                  <c:v>3.2945229373800804</c:v>
                </c:pt>
                <c:pt idx="27">
                  <c:v>3.2054817769103483</c:v>
                </c:pt>
                <c:pt idx="28">
                  <c:v>3.1211269933074441</c:v>
                </c:pt>
                <c:pt idx="29">
                  <c:v>3.0410980960431506</c:v>
                </c:pt>
                <c:pt idx="30">
                  <c:v>2.9650706436420724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6-400E-940B-39846E9D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344"/>
        <c:axId val="14695552"/>
      </c:lineChart>
      <c:lineChart>
        <c:grouping val="stacked"/>
        <c:varyColors val="0"/>
        <c:ser>
          <c:idx val="1"/>
          <c:order val="1"/>
          <c:tx>
            <c:strRef>
              <c:f>Tabelle2!$I$106</c:f>
              <c:strCache>
                <c:ptCount val="1"/>
                <c:pt idx="0">
                  <c:v>Total 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Tabelle2!$K$9:$AO$9</c:f>
              <c:numCache>
                <c:formatCode>General</c:formatCode>
                <c:ptCount val="31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  <c:pt idx="30">
                  <c:v>400000</c:v>
                </c:pt>
              </c:numCache>
            </c:numRef>
          </c:cat>
          <c:val>
            <c:numRef>
              <c:f>Tabelle2!$K$106:$AO$106</c:f>
              <c:numCache>
                <c:formatCode>0.0</c:formatCode>
                <c:ptCount val="31"/>
                <c:pt idx="0">
                  <c:v>15.898855322965833</c:v>
                </c:pt>
                <c:pt idx="1">
                  <c:v>16.178794355440637</c:v>
                </c:pt>
                <c:pt idx="2">
                  <c:v>16.458733387915437</c:v>
                </c:pt>
                <c:pt idx="3">
                  <c:v>16.738672420390245</c:v>
                </c:pt>
                <c:pt idx="4">
                  <c:v>17.018611452865049</c:v>
                </c:pt>
                <c:pt idx="5">
                  <c:v>17.298550485339852</c:v>
                </c:pt>
                <c:pt idx="6">
                  <c:v>17.578489517814653</c:v>
                </c:pt>
                <c:pt idx="7">
                  <c:v>17.85842855028946</c:v>
                </c:pt>
                <c:pt idx="8">
                  <c:v>18.138367582764268</c:v>
                </c:pt>
                <c:pt idx="9">
                  <c:v>18.418306615239068</c:v>
                </c:pt>
                <c:pt idx="10">
                  <c:v>18.698245647713872</c:v>
                </c:pt>
                <c:pt idx="11">
                  <c:v>18.978184680188676</c:v>
                </c:pt>
                <c:pt idx="12">
                  <c:v>19.258123712663483</c:v>
                </c:pt>
                <c:pt idx="13">
                  <c:v>19.538062745138284</c:v>
                </c:pt>
                <c:pt idx="14">
                  <c:v>19.818001777613087</c:v>
                </c:pt>
                <c:pt idx="15">
                  <c:v>20.097940810087895</c:v>
                </c:pt>
                <c:pt idx="16">
                  <c:v>20.377879842562699</c:v>
                </c:pt>
                <c:pt idx="17">
                  <c:v>20.657818875037499</c:v>
                </c:pt>
                <c:pt idx="18">
                  <c:v>20.937757907512303</c:v>
                </c:pt>
                <c:pt idx="19">
                  <c:v>21.217696939987107</c:v>
                </c:pt>
                <c:pt idx="20">
                  <c:v>21.497635972461914</c:v>
                </c:pt>
                <c:pt idx="21">
                  <c:v>21.777575004936715</c:v>
                </c:pt>
                <c:pt idx="22">
                  <c:v>22.057514037411519</c:v>
                </c:pt>
                <c:pt idx="23">
                  <c:v>22.337453069886323</c:v>
                </c:pt>
                <c:pt idx="24">
                  <c:v>22.61739210236113</c:v>
                </c:pt>
                <c:pt idx="25">
                  <c:v>22.89733113483593</c:v>
                </c:pt>
                <c:pt idx="26">
                  <c:v>23.177270167310738</c:v>
                </c:pt>
                <c:pt idx="27">
                  <c:v>23.457209199785545</c:v>
                </c:pt>
                <c:pt idx="28">
                  <c:v>23.737148232260346</c:v>
                </c:pt>
                <c:pt idx="29">
                  <c:v>24.017087264735149</c:v>
                </c:pt>
                <c:pt idx="30">
                  <c:v>24.29702629720995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6-400E-940B-39846E9D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59264"/>
        <c:axId val="2037158432"/>
      </c:lineChart>
      <c:catAx>
        <c:axId val="101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95552"/>
        <c:crosses val="autoZero"/>
        <c:auto val="1"/>
        <c:lblAlgn val="ctr"/>
        <c:lblOffset val="100"/>
        <c:noMultiLvlLbl val="0"/>
      </c:catAx>
      <c:valAx>
        <c:axId val="1469555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89344"/>
        <c:crosses val="autoZero"/>
        <c:crossBetween val="between"/>
      </c:valAx>
      <c:valAx>
        <c:axId val="203715843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159264"/>
        <c:crosses val="max"/>
        <c:crossBetween val="between"/>
      </c:valAx>
      <c:catAx>
        <c:axId val="203715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715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0</xdr:row>
      <xdr:rowOff>167640</xdr:rowOff>
    </xdr:from>
    <xdr:to>
      <xdr:col>24</xdr:col>
      <xdr:colOff>144780</xdr:colOff>
      <xdr:row>18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C03F7EB-D48D-4508-97A1-AD8AF2D02991}"/>
            </a:ext>
          </a:extLst>
        </xdr:cNvPr>
        <xdr:cNvSpPr txBox="1"/>
      </xdr:nvSpPr>
      <xdr:spPr>
        <a:xfrm>
          <a:off x="10919460" y="167640"/>
          <a:ext cx="462534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Todo</a:t>
          </a:r>
        </a:p>
        <a:p>
          <a:r>
            <a:rPr lang="de-DE" sz="1100"/>
            <a:t>Windungszahlen haupt</a:t>
          </a:r>
          <a:r>
            <a:rPr lang="de-DE" sz="1100" baseline="0"/>
            <a:t> trafo und weitere berechnungen</a:t>
          </a:r>
        </a:p>
        <a:p>
          <a:r>
            <a:rPr lang="de-DE" sz="1100" baseline="0"/>
            <a:t>Eimgamngspannungen</a:t>
          </a:r>
        </a:p>
        <a:p>
          <a:r>
            <a:rPr lang="de-DE" sz="1100" baseline="0"/>
            <a:t>Ausgangsspannungen</a:t>
          </a:r>
        </a:p>
        <a:p>
          <a:r>
            <a:rPr lang="de-DE" sz="1100" baseline="0"/>
            <a:t>Output inductor</a:t>
          </a:r>
        </a:p>
        <a:p>
          <a:r>
            <a:rPr lang="de-DE" sz="1100" baseline="0"/>
            <a:t>output capacitance</a:t>
          </a:r>
        </a:p>
        <a:p>
          <a:r>
            <a:rPr lang="de-DE" sz="1100" baseline="0"/>
            <a:t>F_Osc decision &amp; resistor setting</a:t>
          </a:r>
        </a:p>
        <a:p>
          <a:r>
            <a:rPr lang="de-DE" sz="1100" baseline="0"/>
            <a:t>Wiederstandsnetzwerke</a:t>
          </a:r>
        </a:p>
        <a:p>
          <a:r>
            <a:rPr lang="de-DE" sz="1100" baseline="0"/>
            <a:t>Soft start Cap</a:t>
          </a:r>
        </a:p>
        <a:p>
          <a:r>
            <a:rPr lang="de-DE" sz="1100" baseline="0"/>
            <a:t>Bauteildimensionierung (Mosfet/Dioden etc.)</a:t>
          </a:r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</xdr:txBody>
    </xdr:sp>
    <xdr:clientData/>
  </xdr:twoCellAnchor>
  <xdr:twoCellAnchor editAs="oneCell">
    <xdr:from>
      <xdr:col>9</xdr:col>
      <xdr:colOff>525780</xdr:colOff>
      <xdr:row>39</xdr:row>
      <xdr:rowOff>0</xdr:rowOff>
    </xdr:from>
    <xdr:to>
      <xdr:col>12</xdr:col>
      <xdr:colOff>512444</xdr:colOff>
      <xdr:row>47</xdr:row>
      <xdr:rowOff>91750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18C68DD-80E5-4E59-A5F2-51E928DB7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380" y="6217920"/>
          <a:ext cx="1828800" cy="1558599"/>
        </a:xfrm>
        <a:prstGeom prst="rect">
          <a:avLst/>
        </a:prstGeom>
      </xdr:spPr>
    </xdr:pic>
    <xdr:clientData/>
  </xdr:twoCellAnchor>
  <xdr:twoCellAnchor editAs="oneCell">
    <xdr:from>
      <xdr:col>9</xdr:col>
      <xdr:colOff>518161</xdr:colOff>
      <xdr:row>44</xdr:row>
      <xdr:rowOff>114301</xdr:rowOff>
    </xdr:from>
    <xdr:to>
      <xdr:col>12</xdr:col>
      <xdr:colOff>190499</xdr:colOff>
      <xdr:row>47</xdr:row>
      <xdr:rowOff>170422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126807F-5DD6-4D17-9E3B-26C45A88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1761" y="7795261"/>
          <a:ext cx="1501139" cy="608570"/>
        </a:xfrm>
        <a:prstGeom prst="rect">
          <a:avLst/>
        </a:prstGeom>
      </xdr:spPr>
    </xdr:pic>
    <xdr:clientData/>
  </xdr:twoCellAnchor>
  <xdr:twoCellAnchor editAs="oneCell">
    <xdr:from>
      <xdr:col>9</xdr:col>
      <xdr:colOff>487681</xdr:colOff>
      <xdr:row>48</xdr:row>
      <xdr:rowOff>15240</xdr:rowOff>
    </xdr:from>
    <xdr:to>
      <xdr:col>11</xdr:col>
      <xdr:colOff>554903</xdr:colOff>
      <xdr:row>52</xdr:row>
      <xdr:rowOff>57150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970B79B-CDF5-42AD-BF91-199D23C5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1281" y="8427720"/>
          <a:ext cx="1294043" cy="777240"/>
        </a:xfrm>
        <a:prstGeom prst="rect">
          <a:avLst/>
        </a:prstGeom>
      </xdr:spPr>
    </xdr:pic>
    <xdr:clientData/>
  </xdr:twoCellAnchor>
  <xdr:twoCellAnchor editAs="oneCell">
    <xdr:from>
      <xdr:col>9</xdr:col>
      <xdr:colOff>82505</xdr:colOff>
      <xdr:row>52</xdr:row>
      <xdr:rowOff>119029</xdr:rowOff>
    </xdr:from>
    <xdr:to>
      <xdr:col>14</xdr:col>
      <xdr:colOff>22531</xdr:colOff>
      <xdr:row>55</xdr:row>
      <xdr:rowOff>172294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E472B45-A7C6-4078-9C06-C0647939D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5402" y="10629374"/>
          <a:ext cx="2888440" cy="613335"/>
        </a:xfrm>
        <a:prstGeom prst="rect">
          <a:avLst/>
        </a:prstGeom>
      </xdr:spPr>
    </xdr:pic>
    <xdr:clientData/>
  </xdr:twoCellAnchor>
  <xdr:twoCellAnchor editAs="oneCell">
    <xdr:from>
      <xdr:col>2</xdr:col>
      <xdr:colOff>129210</xdr:colOff>
      <xdr:row>47</xdr:row>
      <xdr:rowOff>22860</xdr:rowOff>
    </xdr:from>
    <xdr:to>
      <xdr:col>3</xdr:col>
      <xdr:colOff>610916</xdr:colOff>
      <xdr:row>47</xdr:row>
      <xdr:rowOff>170806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61EF41D-D43D-4A34-B7A7-A6DE4DAD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13038" y="9580705"/>
          <a:ext cx="1072912" cy="155566"/>
        </a:xfrm>
        <a:prstGeom prst="rect">
          <a:avLst/>
        </a:prstGeom>
      </xdr:spPr>
    </xdr:pic>
    <xdr:clientData/>
  </xdr:twoCellAnchor>
  <xdr:twoCellAnchor editAs="oneCell">
    <xdr:from>
      <xdr:col>11</xdr:col>
      <xdr:colOff>343164</xdr:colOff>
      <xdr:row>55</xdr:row>
      <xdr:rowOff>127437</xdr:rowOff>
    </xdr:from>
    <xdr:to>
      <xdr:col>14</xdr:col>
      <xdr:colOff>131708</xdr:colOff>
      <xdr:row>64</xdr:row>
      <xdr:rowOff>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F139117-58F5-471D-ABCC-43BB333FB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78474" y="10256782"/>
          <a:ext cx="1569785" cy="1582947"/>
        </a:xfrm>
        <a:prstGeom prst="rect">
          <a:avLst/>
        </a:prstGeom>
      </xdr:spPr>
    </xdr:pic>
    <xdr:clientData/>
  </xdr:twoCellAnchor>
  <xdr:twoCellAnchor editAs="oneCell">
    <xdr:from>
      <xdr:col>11</xdr:col>
      <xdr:colOff>445836</xdr:colOff>
      <xdr:row>64</xdr:row>
      <xdr:rowOff>37931</xdr:rowOff>
    </xdr:from>
    <xdr:to>
      <xdr:col>14</xdr:col>
      <xdr:colOff>249746</xdr:colOff>
      <xdr:row>70</xdr:row>
      <xdr:rowOff>133088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16E48D5-96A5-41B0-9958-0884FEFD4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1146" y="11881776"/>
          <a:ext cx="1569911" cy="1249586"/>
        </a:xfrm>
        <a:prstGeom prst="rect">
          <a:avLst/>
        </a:prstGeom>
      </xdr:spPr>
    </xdr:pic>
    <xdr:clientData/>
  </xdr:twoCellAnchor>
  <xdr:twoCellAnchor editAs="oneCell">
    <xdr:from>
      <xdr:col>4</xdr:col>
      <xdr:colOff>406200</xdr:colOff>
      <xdr:row>63</xdr:row>
      <xdr:rowOff>174061</xdr:rowOff>
    </xdr:from>
    <xdr:to>
      <xdr:col>5</xdr:col>
      <xdr:colOff>778422</xdr:colOff>
      <xdr:row>65</xdr:row>
      <xdr:rowOff>169838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ED011A99-3CB5-4E7C-9C04-9A5E843DF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82648" y="11827406"/>
          <a:ext cx="957714" cy="376778"/>
        </a:xfrm>
        <a:prstGeom prst="rect">
          <a:avLst/>
        </a:prstGeom>
      </xdr:spPr>
    </xdr:pic>
    <xdr:clientData/>
  </xdr:twoCellAnchor>
  <xdr:twoCellAnchor editAs="oneCell">
    <xdr:from>
      <xdr:col>17</xdr:col>
      <xdr:colOff>20508</xdr:colOff>
      <xdr:row>38</xdr:row>
      <xdr:rowOff>140818</xdr:rowOff>
    </xdr:from>
    <xdr:to>
      <xdr:col>33</xdr:col>
      <xdr:colOff>18197</xdr:colOff>
      <xdr:row>51</xdr:row>
      <xdr:rowOff>464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4C3598E1-E06D-410A-9B99-742B0C020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17743" y="6673847"/>
          <a:ext cx="9500278" cy="2331482"/>
        </a:xfrm>
        <a:prstGeom prst="rect">
          <a:avLst/>
        </a:prstGeom>
      </xdr:spPr>
    </xdr:pic>
    <xdr:clientData/>
  </xdr:twoCellAnchor>
  <xdr:twoCellAnchor editAs="oneCell">
    <xdr:from>
      <xdr:col>17</xdr:col>
      <xdr:colOff>23812</xdr:colOff>
      <xdr:row>52</xdr:row>
      <xdr:rowOff>2930</xdr:rowOff>
    </xdr:from>
    <xdr:to>
      <xdr:col>33</xdr:col>
      <xdr:colOff>95248</xdr:colOff>
      <xdr:row>64</xdr:row>
      <xdr:rowOff>167720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8CB52EBC-D531-4CE7-B291-475050183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521047" y="10536459"/>
          <a:ext cx="9574025" cy="2450790"/>
        </a:xfrm>
        <a:prstGeom prst="rect">
          <a:avLst/>
        </a:prstGeom>
      </xdr:spPr>
    </xdr:pic>
    <xdr:clientData/>
  </xdr:twoCellAnchor>
  <xdr:twoCellAnchor>
    <xdr:from>
      <xdr:col>17</xdr:col>
      <xdr:colOff>67235</xdr:colOff>
      <xdr:row>82</xdr:row>
      <xdr:rowOff>179294</xdr:rowOff>
    </xdr:from>
    <xdr:to>
      <xdr:col>25</xdr:col>
      <xdr:colOff>582706</xdr:colOff>
      <xdr:row>102</xdr:row>
      <xdr:rowOff>78441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AB6785CC-788D-4636-B4F7-50F48215D98C}"/>
            </a:ext>
          </a:extLst>
        </xdr:cNvPr>
        <xdr:cNvSpPr txBox="1"/>
      </xdr:nvSpPr>
      <xdr:spPr>
        <a:xfrm>
          <a:off x="11564470" y="14332323"/>
          <a:ext cx="5266765" cy="1423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leakage Inductance ist over 1000 times smaller thatn the magnetizing inductance this would never couse such a difference. Leakage inductance will be ignoreed by setting the K factor to 1</a:t>
          </a:r>
          <a:r>
            <a:rPr lang="en-GB"/>
            <a:t> </a:t>
          </a:r>
          <a:endParaRPr lang="en-GB" sz="1100"/>
        </a:p>
      </xdr:txBody>
    </xdr:sp>
    <xdr:clientData/>
  </xdr:twoCellAnchor>
  <xdr:twoCellAnchor>
    <xdr:from>
      <xdr:col>10</xdr:col>
      <xdr:colOff>66261</xdr:colOff>
      <xdr:row>98</xdr:row>
      <xdr:rowOff>162340</xdr:rowOff>
    </xdr:from>
    <xdr:to>
      <xdr:col>17</xdr:col>
      <xdr:colOff>371061</xdr:colOff>
      <xdr:row>123</xdr:row>
      <xdr:rowOff>122583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898BA84-9639-4CE0-82ED-6A41FB752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129210</xdr:colOff>
      <xdr:row>45</xdr:row>
      <xdr:rowOff>22860</xdr:rowOff>
    </xdr:from>
    <xdr:to>
      <xdr:col>3</xdr:col>
      <xdr:colOff>439466</xdr:colOff>
      <xdr:row>45</xdr:row>
      <xdr:rowOff>174616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D37977E-FA6D-4984-9635-A58CC7656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3750" y="8252460"/>
          <a:ext cx="1091306" cy="151756"/>
        </a:xfrm>
        <a:prstGeom prst="rect">
          <a:avLst/>
        </a:prstGeom>
      </xdr:spPr>
    </xdr:pic>
    <xdr:clientData/>
  </xdr:twoCellAnchor>
  <xdr:twoCellAnchor editAs="oneCell">
    <xdr:from>
      <xdr:col>4</xdr:col>
      <xdr:colOff>406200</xdr:colOff>
      <xdr:row>61</xdr:row>
      <xdr:rowOff>174061</xdr:rowOff>
    </xdr:from>
    <xdr:to>
      <xdr:col>5</xdr:col>
      <xdr:colOff>593637</xdr:colOff>
      <xdr:row>63</xdr:row>
      <xdr:rowOff>173649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53B0951-5D62-44F8-BDDC-0C1E96D6A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3300" y="11329741"/>
          <a:ext cx="985632" cy="365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oilcraft.com/en-us/products/power/shielded-inductors/high-current-flat-wire/agp-ver/agm2222/?skuId=3043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5"/>
  <sheetViews>
    <sheetView tabSelected="1" topLeftCell="A76" zoomScale="115" zoomScaleNormal="115" workbookViewId="0">
      <selection activeCell="H95" sqref="H95"/>
    </sheetView>
  </sheetViews>
  <sheetFormatPr baseColWidth="10" defaultColWidth="8.88671875" defaultRowHeight="14.4" x14ac:dyDescent="0.3"/>
  <cols>
    <col min="1" max="1" width="17" customWidth="1"/>
    <col min="2" max="2" width="12.6640625" bestFit="1" customWidth="1"/>
    <col min="4" max="4" width="12" bestFit="1" customWidth="1"/>
    <col min="6" max="7" width="12" bestFit="1" customWidth="1"/>
  </cols>
  <sheetData>
    <row r="1" spans="1:10" x14ac:dyDescent="0.3">
      <c r="A1" s="45" t="s">
        <v>109</v>
      </c>
      <c r="B1" s="45"/>
      <c r="C1" s="45"/>
      <c r="D1" s="45"/>
      <c r="E1" s="45"/>
      <c r="F1" s="45"/>
      <c r="G1" s="45"/>
      <c r="H1" s="45"/>
      <c r="I1" s="45"/>
      <c r="J1" t="s">
        <v>58</v>
      </c>
    </row>
    <row r="2" spans="1:10" x14ac:dyDescent="0.3">
      <c r="A2" t="s">
        <v>0</v>
      </c>
      <c r="G2" s="6" t="s">
        <v>110</v>
      </c>
      <c r="J2" t="s">
        <v>57</v>
      </c>
    </row>
    <row r="3" spans="1:10" x14ac:dyDescent="0.3">
      <c r="A3" t="s">
        <v>1</v>
      </c>
      <c r="B3" s="14">
        <v>24</v>
      </c>
      <c r="C3" t="s">
        <v>10</v>
      </c>
      <c r="G3" s="14" t="s">
        <v>111</v>
      </c>
      <c r="J3" t="s">
        <v>59</v>
      </c>
    </row>
    <row r="4" spans="1:10" x14ac:dyDescent="0.3">
      <c r="A4" t="s">
        <v>21</v>
      </c>
      <c r="B4" s="14">
        <v>960</v>
      </c>
      <c r="C4" t="s">
        <v>20</v>
      </c>
      <c r="J4" t="s">
        <v>60</v>
      </c>
    </row>
    <row r="5" spans="1:10" x14ac:dyDescent="0.3">
      <c r="A5" t="s">
        <v>30</v>
      </c>
      <c r="B5" s="14">
        <v>230</v>
      </c>
      <c r="C5" t="s">
        <v>10</v>
      </c>
      <c r="D5" t="s">
        <v>12</v>
      </c>
      <c r="J5" t="s">
        <v>68</v>
      </c>
    </row>
    <row r="6" spans="1:10" x14ac:dyDescent="0.3">
      <c r="A6" t="s">
        <v>31</v>
      </c>
      <c r="B6" s="14">
        <v>630</v>
      </c>
      <c r="C6" t="s">
        <v>10</v>
      </c>
      <c r="D6" t="s">
        <v>32</v>
      </c>
    </row>
    <row r="7" spans="1:10" x14ac:dyDescent="0.3">
      <c r="A7" t="s">
        <v>19</v>
      </c>
      <c r="B7" s="14">
        <f>B4/B3</f>
        <v>40</v>
      </c>
      <c r="C7" t="s">
        <v>23</v>
      </c>
    </row>
    <row r="9" spans="1:10" x14ac:dyDescent="0.3">
      <c r="A9" t="s">
        <v>3</v>
      </c>
      <c r="B9" s="14">
        <f>100*10^3</f>
        <v>100000</v>
      </c>
      <c r="C9" t="s">
        <v>26</v>
      </c>
      <c r="D9" t="s">
        <v>4</v>
      </c>
    </row>
    <row r="10" spans="1:10" x14ac:dyDescent="0.3">
      <c r="A10" t="s">
        <v>69</v>
      </c>
      <c r="B10" s="14">
        <v>2</v>
      </c>
      <c r="C10" t="s">
        <v>70</v>
      </c>
    </row>
    <row r="11" spans="1:10" x14ac:dyDescent="0.3">
      <c r="A11" t="s">
        <v>123</v>
      </c>
      <c r="B11" s="14">
        <v>10</v>
      </c>
      <c r="C11" t="s">
        <v>10</v>
      </c>
    </row>
    <row r="12" spans="1:10" x14ac:dyDescent="0.3">
      <c r="B12" s="20"/>
    </row>
    <row r="13" spans="1:10" x14ac:dyDescent="0.3">
      <c r="A13" t="s">
        <v>157</v>
      </c>
      <c r="B13" s="14">
        <v>50</v>
      </c>
      <c r="C13" t="s">
        <v>158</v>
      </c>
    </row>
    <row r="14" spans="1:10" x14ac:dyDescent="0.3">
      <c r="A14" t="s">
        <v>160</v>
      </c>
      <c r="B14" s="14">
        <v>125</v>
      </c>
      <c r="C14" t="s">
        <v>158</v>
      </c>
    </row>
    <row r="15" spans="1:10" x14ac:dyDescent="0.3">
      <c r="A15" s="45" t="s">
        <v>108</v>
      </c>
      <c r="B15" s="45"/>
      <c r="C15" s="45"/>
      <c r="D15" s="45"/>
      <c r="E15" s="45"/>
      <c r="F15" s="45"/>
      <c r="G15" s="45"/>
      <c r="H15" s="45"/>
      <c r="I15" s="45"/>
    </row>
    <row r="16" spans="1:10" x14ac:dyDescent="0.3">
      <c r="A16" t="s">
        <v>5</v>
      </c>
      <c r="B16" s="14">
        <v>0.6</v>
      </c>
      <c r="C16" t="s">
        <v>11</v>
      </c>
      <c r="D16" s="14">
        <v>0.7</v>
      </c>
      <c r="E16" t="s">
        <v>6</v>
      </c>
    </row>
    <row r="17" spans="1:9" x14ac:dyDescent="0.3">
      <c r="A17" t="s">
        <v>7</v>
      </c>
      <c r="B17" s="15">
        <v>4.4499999999999998E-2</v>
      </c>
      <c r="D17" t="s">
        <v>8</v>
      </c>
    </row>
    <row r="19" spans="1:9" x14ac:dyDescent="0.3">
      <c r="A19" t="s">
        <v>16</v>
      </c>
      <c r="B19" s="6">
        <f>(B5/B3)*B16</f>
        <v>5.75</v>
      </c>
      <c r="C19" t="s">
        <v>2</v>
      </c>
      <c r="D19" s="11">
        <f>(B5/B3)*D16</f>
        <v>6.708333333333333</v>
      </c>
    </row>
    <row r="20" spans="1:9" x14ac:dyDescent="0.3">
      <c r="A20" t="s">
        <v>17</v>
      </c>
      <c r="B20" s="16">
        <f>I23</f>
        <v>10.989010989010989</v>
      </c>
    </row>
    <row r="21" spans="1:9" x14ac:dyDescent="0.3">
      <c r="A21" t="s">
        <v>36</v>
      </c>
      <c r="B21" s="7">
        <f>I23/I25</f>
        <v>5.4945054945054945</v>
      </c>
      <c r="C21" t="s">
        <v>130</v>
      </c>
      <c r="D21" s="19">
        <f>1/B21</f>
        <v>0.182</v>
      </c>
      <c r="E21" t="s">
        <v>131</v>
      </c>
    </row>
    <row r="22" spans="1:9" x14ac:dyDescent="0.3">
      <c r="E22" t="s">
        <v>18</v>
      </c>
      <c r="F22" t="s">
        <v>34</v>
      </c>
      <c r="I22" s="3" t="s">
        <v>34</v>
      </c>
    </row>
    <row r="23" spans="1:9" x14ac:dyDescent="0.3">
      <c r="A23" t="s">
        <v>13</v>
      </c>
      <c r="B23" s="14">
        <f>I24</f>
        <v>3900</v>
      </c>
      <c r="C23" t="s">
        <v>15</v>
      </c>
      <c r="E23" t="s">
        <v>9</v>
      </c>
      <c r="F23" s="14">
        <f>1/0.083</f>
        <v>12.048192771084336</v>
      </c>
      <c r="G23" s="14">
        <f>1/0.182</f>
        <v>5.4945054945054945</v>
      </c>
      <c r="H23" s="14">
        <f>1/0.363</f>
        <v>2.7548209366391188</v>
      </c>
      <c r="I23" s="14">
        <f>1/0.091</f>
        <v>10.989010989010989</v>
      </c>
    </row>
    <row r="24" spans="1:9" x14ac:dyDescent="0.3">
      <c r="A24" t="s">
        <v>14</v>
      </c>
      <c r="B24" s="7">
        <f>B23/(B20^2)</f>
        <v>32.295899999999996</v>
      </c>
      <c r="C24" t="s">
        <v>15</v>
      </c>
      <c r="E24" t="s">
        <v>13</v>
      </c>
      <c r="F24" s="14">
        <v>3100</v>
      </c>
      <c r="G24" s="14">
        <v>2600</v>
      </c>
      <c r="H24" s="14">
        <v>2600</v>
      </c>
      <c r="I24" s="14">
        <v>3900</v>
      </c>
    </row>
    <row r="25" spans="1:9" x14ac:dyDescent="0.3">
      <c r="E25" t="s">
        <v>35</v>
      </c>
      <c r="F25" s="14">
        <v>2</v>
      </c>
      <c r="G25" s="14">
        <v>1</v>
      </c>
      <c r="H25" s="14">
        <v>1</v>
      </c>
      <c r="I25" s="14">
        <v>2</v>
      </c>
    </row>
    <row r="26" spans="1:9" x14ac:dyDescent="0.3">
      <c r="A26" t="s">
        <v>40</v>
      </c>
      <c r="B26" s="14">
        <v>3</v>
      </c>
      <c r="C26" t="s">
        <v>15</v>
      </c>
    </row>
    <row r="27" spans="1:9" x14ac:dyDescent="0.3">
      <c r="A27" t="s">
        <v>39</v>
      </c>
      <c r="B27" s="7">
        <f>1-(B26/B23)</f>
        <v>0.99923076923076926</v>
      </c>
    </row>
    <row r="29" spans="1:9" x14ac:dyDescent="0.3">
      <c r="A29" s="45" t="s">
        <v>107</v>
      </c>
      <c r="B29" s="45"/>
      <c r="C29" s="45"/>
      <c r="D29" s="45"/>
      <c r="E29" s="45"/>
      <c r="F29" s="45"/>
      <c r="G29" s="45"/>
      <c r="H29" s="45"/>
      <c r="I29" s="45"/>
    </row>
    <row r="30" spans="1:9" x14ac:dyDescent="0.3">
      <c r="A30" t="s">
        <v>22</v>
      </c>
      <c r="B30" s="6">
        <f>B17*B7</f>
        <v>1.7799999999999998</v>
      </c>
      <c r="C30" t="s">
        <v>23</v>
      </c>
    </row>
    <row r="31" spans="1:9" x14ac:dyDescent="0.3">
      <c r="A31" t="s">
        <v>24</v>
      </c>
      <c r="B31" s="6">
        <f>B30*2</f>
        <v>3.5599999999999996</v>
      </c>
      <c r="C31" t="s">
        <v>23</v>
      </c>
    </row>
    <row r="32" spans="1:9" x14ac:dyDescent="0.3">
      <c r="A32" t="s">
        <v>28</v>
      </c>
      <c r="B32" s="8">
        <f>(1-((1/B5)*B21*B3))*1/B31*B3*1/B9</f>
        <v>2.8763615475877321E-5</v>
      </c>
      <c r="C32" t="s">
        <v>27</v>
      </c>
      <c r="D32" s="11">
        <f>B32*10^6</f>
        <v>28.763615475877319</v>
      </c>
      <c r="E32" t="s">
        <v>15</v>
      </c>
    </row>
    <row r="33" spans="1:24" x14ac:dyDescent="0.3">
      <c r="A33" t="s">
        <v>29</v>
      </c>
      <c r="B33" s="8">
        <f>(1-((1/B6)*B21*B3))*1/B31*B3*1/B9</f>
        <v>5.330464078457658E-5</v>
      </c>
      <c r="C33" t="s">
        <v>27</v>
      </c>
      <c r="D33" s="11">
        <f>B33*10^6</f>
        <v>53.304640784576577</v>
      </c>
      <c r="E33" t="s">
        <v>15</v>
      </c>
    </row>
    <row r="34" spans="1:24" x14ac:dyDescent="0.3">
      <c r="A34" t="s">
        <v>25</v>
      </c>
      <c r="B34" s="14">
        <v>60</v>
      </c>
      <c r="C34" t="s">
        <v>15</v>
      </c>
      <c r="D34" s="2" t="s">
        <v>37</v>
      </c>
      <c r="E34" t="s">
        <v>33</v>
      </c>
      <c r="F34" t="s">
        <v>38</v>
      </c>
      <c r="G34" s="43" t="s">
        <v>156</v>
      </c>
    </row>
    <row r="35" spans="1:24" x14ac:dyDescent="0.3">
      <c r="D35" s="2"/>
    </row>
    <row r="36" spans="1:24" x14ac:dyDescent="0.3">
      <c r="A36" t="s">
        <v>61</v>
      </c>
      <c r="B36" s="17">
        <v>0.01</v>
      </c>
      <c r="C36" t="s">
        <v>62</v>
      </c>
      <c r="D36" s="9">
        <f>B3*B36</f>
        <v>0.24</v>
      </c>
      <c r="E36" t="s">
        <v>63</v>
      </c>
    </row>
    <row r="37" spans="1:24" x14ac:dyDescent="0.3">
      <c r="A37" t="s">
        <v>64</v>
      </c>
      <c r="B37" s="14">
        <v>0.2</v>
      </c>
      <c r="D37" s="2"/>
    </row>
    <row r="38" spans="1:24" x14ac:dyDescent="0.3">
      <c r="A38" t="s">
        <v>65</v>
      </c>
      <c r="B38" s="8">
        <f>B31/(8*B9*(D36-B31*B37))</f>
        <v>-9.4279661016949134E-6</v>
      </c>
      <c r="C38" t="s">
        <v>53</v>
      </c>
      <c r="D38" s="18">
        <f>-B38*10^6</f>
        <v>9.4279661016949134</v>
      </c>
      <c r="E38" t="s">
        <v>66</v>
      </c>
      <c r="F38" t="s">
        <v>67</v>
      </c>
    </row>
    <row r="40" spans="1:24" x14ac:dyDescent="0.3">
      <c r="A40" t="s">
        <v>41</v>
      </c>
      <c r="B40" s="12">
        <f>(B21*96*10^-3)/(0.5*B31*B7*1.3)</f>
        <v>5.6987092423566059E-3</v>
      </c>
      <c r="C40" t="s">
        <v>42</v>
      </c>
      <c r="D40" s="11">
        <f>B40*10^3</f>
        <v>5.6987092423566059</v>
      </c>
      <c r="E40" t="s">
        <v>43</v>
      </c>
    </row>
    <row r="42" spans="1:24" x14ac:dyDescent="0.3">
      <c r="A42" t="s">
        <v>45</v>
      </c>
      <c r="B42" s="14">
        <v>1</v>
      </c>
      <c r="C42" t="s">
        <v>46</v>
      </c>
      <c r="D42" s="6">
        <f>B42*10^6</f>
        <v>1000000</v>
      </c>
      <c r="E42" t="s">
        <v>42</v>
      </c>
    </row>
    <row r="43" spans="1:24" x14ac:dyDescent="0.3">
      <c r="A43" t="s">
        <v>47</v>
      </c>
      <c r="B43" s="10">
        <f>(D42*((1/((B5/1.25)-1))+1))/(B6/1.25)</f>
        <v>1994.9692080839623</v>
      </c>
      <c r="C43" t="s">
        <v>42</v>
      </c>
    </row>
    <row r="44" spans="1:24" x14ac:dyDescent="0.3">
      <c r="A44" t="s">
        <v>48</v>
      </c>
      <c r="B44" s="10">
        <f>B43*((B6/1.25)-1)-D42</f>
        <v>3469.5116662330693</v>
      </c>
      <c r="C44" t="s">
        <v>42</v>
      </c>
    </row>
    <row r="45" spans="1:24" x14ac:dyDescent="0.3">
      <c r="A45" t="s">
        <v>49</v>
      </c>
      <c r="B45" s="6">
        <f>(B5/D42)/((1/(B43+B44))+(1/D42))</f>
        <v>1.2500000000000209</v>
      </c>
      <c r="C45" t="s">
        <v>10</v>
      </c>
      <c r="D45" t="s">
        <v>50</v>
      </c>
      <c r="E45" s="11">
        <f>(B6/D42)/((1/(B43+B44))+(1/D42))</f>
        <v>3.423913043478318</v>
      </c>
      <c r="F45" t="s">
        <v>10</v>
      </c>
      <c r="R45" t="s">
        <v>93</v>
      </c>
      <c r="S45">
        <v>32.799999999999997</v>
      </c>
      <c r="T45" t="s">
        <v>23</v>
      </c>
      <c r="U45" t="s">
        <v>98</v>
      </c>
      <c r="V45" t="s">
        <v>92</v>
      </c>
      <c r="W45" t="s">
        <v>99</v>
      </c>
    </row>
    <row r="46" spans="1:24" x14ac:dyDescent="0.3">
      <c r="A46" t="s">
        <v>44</v>
      </c>
      <c r="B46" s="10">
        <f>(D16/(0.725*((B9/1000)/300)*(1.25/B45)))*51.1*10^3</f>
        <v>148013.79310345076</v>
      </c>
      <c r="C46" t="s">
        <v>51</v>
      </c>
      <c r="D46" s="10">
        <f>B46*10^-3</f>
        <v>148.01379310345078</v>
      </c>
      <c r="E46" t="s">
        <v>51</v>
      </c>
      <c r="F46" s="5"/>
      <c r="R46" t="s">
        <v>94</v>
      </c>
      <c r="S46">
        <v>3</v>
      </c>
      <c r="T46" t="s">
        <v>23</v>
      </c>
      <c r="V46" t="s">
        <v>100</v>
      </c>
      <c r="W46">
        <v>39.85</v>
      </c>
      <c r="X46" t="s">
        <v>101</v>
      </c>
    </row>
    <row r="47" spans="1:24" x14ac:dyDescent="0.3">
      <c r="A47" s="45" t="s">
        <v>106</v>
      </c>
      <c r="B47" s="45"/>
      <c r="C47" s="45"/>
      <c r="D47" s="45"/>
      <c r="E47" s="45"/>
      <c r="F47" s="45"/>
      <c r="G47" s="45"/>
      <c r="H47" s="45"/>
      <c r="I47" s="45"/>
      <c r="R47" t="s">
        <v>95</v>
      </c>
      <c r="S47">
        <v>1043</v>
      </c>
      <c r="T47" t="s">
        <v>20</v>
      </c>
      <c r="V47" t="s">
        <v>104</v>
      </c>
    </row>
    <row r="48" spans="1:24" x14ac:dyDescent="0.3">
      <c r="A48" t="s">
        <v>7</v>
      </c>
      <c r="B48" s="11">
        <f>(B3/B6)*B21</f>
        <v>0.20931449502878077</v>
      </c>
      <c r="G48" s="20"/>
      <c r="H48" s="20"/>
      <c r="R48" t="s">
        <v>96</v>
      </c>
      <c r="S48">
        <v>953</v>
      </c>
      <c r="T48" t="s">
        <v>20</v>
      </c>
    </row>
    <row r="49" spans="1:20" x14ac:dyDescent="0.3">
      <c r="A49" t="s">
        <v>52</v>
      </c>
      <c r="B49" s="8">
        <f>(10*(1-B48)^2)/(B23*(2*PI()*(B9/1000))^2)</f>
        <v>4.0605345564331669E-9</v>
      </c>
      <c r="C49" t="s">
        <v>53</v>
      </c>
      <c r="D49" s="13">
        <f>B49*10^9</f>
        <v>4.0605345564331667</v>
      </c>
      <c r="E49" t="s">
        <v>54</v>
      </c>
      <c r="G49" s="26"/>
      <c r="H49" s="20"/>
      <c r="R49" t="s">
        <v>97</v>
      </c>
      <c r="S49" s="4">
        <f>(S48/S47)*100</f>
        <v>91.371045062320235</v>
      </c>
      <c r="T49" t="s">
        <v>103</v>
      </c>
    </row>
    <row r="50" spans="1:20" x14ac:dyDescent="0.3">
      <c r="A50" t="s">
        <v>55</v>
      </c>
      <c r="B50" s="8">
        <f>6*B49</f>
        <v>2.4363207338599E-8</v>
      </c>
      <c r="C50" t="s">
        <v>53</v>
      </c>
      <c r="D50" s="13">
        <f>B50*10^9</f>
        <v>24.363207338599</v>
      </c>
      <c r="E50" t="s">
        <v>54</v>
      </c>
      <c r="R50" t="s">
        <v>102</v>
      </c>
      <c r="S50">
        <v>1.6E-2</v>
      </c>
      <c r="T50" t="s">
        <v>10</v>
      </c>
    </row>
    <row r="51" spans="1:20" x14ac:dyDescent="0.3">
      <c r="A51" t="s">
        <v>5</v>
      </c>
      <c r="B51" s="11">
        <f>(B3/B5)*B21</f>
        <v>0.5733397037744864</v>
      </c>
    </row>
    <row r="52" spans="1:20" x14ac:dyDescent="0.3">
      <c r="A52" t="s">
        <v>56</v>
      </c>
      <c r="B52" s="10">
        <f>(1/(1-B51))*SQRT(B23*10^-6/B49)</f>
        <v>2296.9866312323384</v>
      </c>
      <c r="C52" t="s">
        <v>42</v>
      </c>
    </row>
    <row r="54" spans="1:20" x14ac:dyDescent="0.3">
      <c r="A54" t="s">
        <v>71</v>
      </c>
      <c r="B54" s="6">
        <f>(1.2/(B9/B10))*22.1*10^6</f>
        <v>530.40000000000009</v>
      </c>
      <c r="C54" t="s">
        <v>51</v>
      </c>
    </row>
    <row r="56" spans="1:20" x14ac:dyDescent="0.3">
      <c r="A56" s="45" t="s">
        <v>105</v>
      </c>
      <c r="B56" s="45"/>
      <c r="C56" s="45"/>
      <c r="D56" s="45"/>
      <c r="E56" s="45"/>
      <c r="F56" s="45"/>
      <c r="G56" s="45"/>
      <c r="H56" s="45"/>
      <c r="I56" s="45"/>
    </row>
    <row r="57" spans="1:20" x14ac:dyDescent="0.3">
      <c r="A57" t="s">
        <v>81</v>
      </c>
      <c r="B57" s="6">
        <f>B6*(1/B21)*2</f>
        <v>229.32</v>
      </c>
      <c r="C57" t="s">
        <v>10</v>
      </c>
      <c r="D57" t="s">
        <v>82</v>
      </c>
    </row>
    <row r="58" spans="1:20" x14ac:dyDescent="0.3">
      <c r="A58" t="s">
        <v>73</v>
      </c>
      <c r="B58" s="14">
        <v>4.5</v>
      </c>
      <c r="C58" t="s">
        <v>23</v>
      </c>
      <c r="D58" t="s">
        <v>88</v>
      </c>
    </row>
    <row r="60" spans="1:20" x14ac:dyDescent="0.3">
      <c r="A60" t="s">
        <v>74</v>
      </c>
      <c r="B60" s="25">
        <f>D60*10^-3</f>
        <v>4.0999999999999995E-3</v>
      </c>
      <c r="C60" t="s">
        <v>42</v>
      </c>
      <c r="D60" s="14">
        <v>4.0999999999999996</v>
      </c>
      <c r="E60" t="s">
        <v>43</v>
      </c>
    </row>
    <row r="61" spans="1:20" x14ac:dyDescent="0.3">
      <c r="A61" t="s">
        <v>72</v>
      </c>
      <c r="B61" s="7">
        <f>B58*B60</f>
        <v>1.8449999999999998E-2</v>
      </c>
      <c r="C61" t="s">
        <v>10</v>
      </c>
      <c r="D61" s="6">
        <f>B61*10^3</f>
        <v>18.45</v>
      </c>
      <c r="E61" t="s">
        <v>75</v>
      </c>
      <c r="F61" t="s">
        <v>83</v>
      </c>
      <c r="G61" t="s">
        <v>85</v>
      </c>
    </row>
    <row r="62" spans="1:20" x14ac:dyDescent="0.3">
      <c r="A62" t="s">
        <v>87</v>
      </c>
      <c r="B62" s="6">
        <f>D61*1.2</f>
        <v>22.139999999999997</v>
      </c>
      <c r="C62" t="s">
        <v>75</v>
      </c>
    </row>
    <row r="63" spans="1:20" x14ac:dyDescent="0.3">
      <c r="G63" s="46" t="s">
        <v>143</v>
      </c>
      <c r="H63" s="47"/>
      <c r="I63" s="47"/>
    </row>
    <row r="64" spans="1:20" x14ac:dyDescent="0.3">
      <c r="A64" t="s">
        <v>77</v>
      </c>
      <c r="B64" s="14">
        <v>2000</v>
      </c>
      <c r="C64" t="s">
        <v>79</v>
      </c>
      <c r="G64" s="47"/>
      <c r="H64" s="47"/>
      <c r="I64" s="47"/>
    </row>
    <row r="65" spans="1:24" x14ac:dyDescent="0.3">
      <c r="A65" t="s">
        <v>78</v>
      </c>
      <c r="B65" s="14">
        <v>300</v>
      </c>
      <c r="C65" t="s">
        <v>10</v>
      </c>
      <c r="G65" s="47"/>
      <c r="H65" s="47"/>
      <c r="I65" s="47"/>
      <c r="J65" t="s">
        <v>175</v>
      </c>
      <c r="R65" t="s">
        <v>93</v>
      </c>
      <c r="S65">
        <v>31.3</v>
      </c>
      <c r="T65" t="s">
        <v>23</v>
      </c>
      <c r="U65" t="s">
        <v>98</v>
      </c>
      <c r="V65" t="s">
        <v>92</v>
      </c>
      <c r="W65" t="s">
        <v>99</v>
      </c>
    </row>
    <row r="66" spans="1:24" x14ac:dyDescent="0.3">
      <c r="A66" t="s">
        <v>76</v>
      </c>
      <c r="B66" s="11">
        <f>B60*SQRT(2*B64*10^-3*((1.3*B65-B3)/(1.3*B65*B34*10^-6)))</f>
        <v>1.0255255063149642</v>
      </c>
      <c r="C66" t="s">
        <v>10</v>
      </c>
      <c r="D66">
        <f t="shared" ref="D66" si="0">B66*10^3</f>
        <v>1025.5255063149641</v>
      </c>
      <c r="E66" t="s">
        <v>75</v>
      </c>
      <c r="G66" s="47"/>
      <c r="H66" s="47"/>
      <c r="I66" s="47"/>
      <c r="R66" t="s">
        <v>94</v>
      </c>
      <c r="S66">
        <v>2.84</v>
      </c>
      <c r="T66" t="s">
        <v>23</v>
      </c>
      <c r="V66" t="s">
        <v>100</v>
      </c>
      <c r="W66">
        <v>39.85</v>
      </c>
      <c r="X66" t="s">
        <v>101</v>
      </c>
    </row>
    <row r="67" spans="1:24" x14ac:dyDescent="0.3">
      <c r="A67" t="s">
        <v>89</v>
      </c>
      <c r="B67" s="11">
        <f>B66/B60</f>
        <v>250.12817227194253</v>
      </c>
      <c r="C67" t="s">
        <v>23</v>
      </c>
      <c r="D67">
        <v>60</v>
      </c>
      <c r="E67" t="s">
        <v>23</v>
      </c>
      <c r="F67" t="s">
        <v>142</v>
      </c>
      <c r="R67" t="s">
        <v>95</v>
      </c>
      <c r="S67">
        <v>1001</v>
      </c>
      <c r="T67" t="s">
        <v>20</v>
      </c>
      <c r="V67" t="s">
        <v>104</v>
      </c>
    </row>
    <row r="68" spans="1:24" x14ac:dyDescent="0.3">
      <c r="R68" t="s">
        <v>96</v>
      </c>
      <c r="S68">
        <v>953</v>
      </c>
      <c r="T68" t="s">
        <v>20</v>
      </c>
    </row>
    <row r="69" spans="1:24" x14ac:dyDescent="0.3">
      <c r="A69" t="s">
        <v>80</v>
      </c>
      <c r="B69" s="14">
        <v>1000</v>
      </c>
      <c r="C69" t="s">
        <v>42</v>
      </c>
      <c r="D69" t="s">
        <v>86</v>
      </c>
      <c r="R69" t="s">
        <v>97</v>
      </c>
      <c r="S69" s="4">
        <f>(S68/S67)*100</f>
        <v>95.204795204795204</v>
      </c>
      <c r="T69" t="s">
        <v>103</v>
      </c>
    </row>
    <row r="70" spans="1:24" x14ac:dyDescent="0.3">
      <c r="A70" t="s">
        <v>84</v>
      </c>
      <c r="B70" s="12">
        <f>((B69*40*10^-6)+66*10^-3)/D67</f>
        <v>1.7666666666666668E-3</v>
      </c>
      <c r="C70" t="s">
        <v>42</v>
      </c>
      <c r="D70" s="11">
        <f>B70*10^3</f>
        <v>1.7666666666666668</v>
      </c>
      <c r="E70" t="s">
        <v>43</v>
      </c>
      <c r="F70" s="14">
        <v>1.8</v>
      </c>
      <c r="G70" t="s">
        <v>90</v>
      </c>
      <c r="H70" t="s">
        <v>91</v>
      </c>
      <c r="R70" t="s">
        <v>102</v>
      </c>
      <c r="S70">
        <v>1.7999999999999999E-2</v>
      </c>
      <c r="T70" t="s">
        <v>10</v>
      </c>
    </row>
    <row r="71" spans="1:24" x14ac:dyDescent="0.3">
      <c r="D71" s="27"/>
      <c r="E71" s="20"/>
      <c r="F71" s="20"/>
    </row>
    <row r="72" spans="1:24" x14ac:dyDescent="0.3">
      <c r="A72" t="s">
        <v>138</v>
      </c>
      <c r="B72" s="23">
        <f>SQRT((1-B48)*(B7^2+(B31^2/12)))</f>
        <v>35.579936442775363</v>
      </c>
      <c r="C72" t="s">
        <v>23</v>
      </c>
      <c r="D72" s="27"/>
      <c r="E72" s="20"/>
      <c r="F72" s="20"/>
    </row>
    <row r="73" spans="1:24" x14ac:dyDescent="0.3">
      <c r="A73" t="s">
        <v>122</v>
      </c>
      <c r="B73" s="28">
        <f>D73*10^-9</f>
        <v>3.4500000000000003E-7</v>
      </c>
      <c r="C73" t="s">
        <v>125</v>
      </c>
      <c r="D73" s="24">
        <v>345</v>
      </c>
      <c r="E73" s="20" t="s">
        <v>124</v>
      </c>
      <c r="F73" s="20"/>
    </row>
    <row r="74" spans="1:24" x14ac:dyDescent="0.3">
      <c r="A74" t="s">
        <v>140</v>
      </c>
      <c r="B74" s="22">
        <f>(B72^2*B60)+(B11*B9*B73)</f>
        <v>5.5353206968149298</v>
      </c>
      <c r="C74" s="20" t="s">
        <v>20</v>
      </c>
      <c r="D74" s="27"/>
      <c r="E74" s="20"/>
      <c r="F74" s="20"/>
    </row>
    <row r="75" spans="1:24" x14ac:dyDescent="0.3">
      <c r="B75" s="22"/>
      <c r="C75" s="20"/>
      <c r="D75" s="27"/>
      <c r="E75" s="48" t="s">
        <v>168</v>
      </c>
      <c r="F75" s="48"/>
    </row>
    <row r="76" spans="1:24" x14ac:dyDescent="0.3">
      <c r="A76" t="s">
        <v>159</v>
      </c>
      <c r="B76" s="22">
        <f>(B14-B13)/B74</f>
        <v>13.549350454645859</v>
      </c>
      <c r="C76" s="20" t="s">
        <v>161</v>
      </c>
      <c r="D76" s="27"/>
      <c r="E76" s="14">
        <v>0.35</v>
      </c>
      <c r="F76" s="20" t="s">
        <v>169</v>
      </c>
    </row>
    <row r="77" spans="1:24" x14ac:dyDescent="0.3">
      <c r="A77" t="s">
        <v>162</v>
      </c>
      <c r="B77" s="25">
        <v>0.1</v>
      </c>
      <c r="C77" s="20" t="s">
        <v>161</v>
      </c>
      <c r="D77" s="27"/>
      <c r="E77" s="20">
        <f>E76*B79</f>
        <v>177.20149999999998</v>
      </c>
      <c r="F77" s="20" t="s">
        <v>170</v>
      </c>
    </row>
    <row r="78" spans="1:24" x14ac:dyDescent="0.3">
      <c r="A78" t="s">
        <v>163</v>
      </c>
      <c r="B78" s="25">
        <v>0.15</v>
      </c>
      <c r="C78" s="20" t="s">
        <v>161</v>
      </c>
      <c r="D78" s="27"/>
      <c r="E78" s="20">
        <f>1/E77</f>
        <v>5.6432930872481329E-3</v>
      </c>
      <c r="F78" s="20" t="s">
        <v>161</v>
      </c>
    </row>
    <row r="79" spans="1:24" x14ac:dyDescent="0.3">
      <c r="A79" t="s">
        <v>164</v>
      </c>
      <c r="B79" s="22">
        <f>19.7*25.7</f>
        <v>506.28999999999996</v>
      </c>
      <c r="C79" s="20" t="s">
        <v>165</v>
      </c>
      <c r="D79" s="27"/>
      <c r="E79" s="20"/>
      <c r="F79" s="20"/>
    </row>
    <row r="80" spans="1:24" x14ac:dyDescent="0.3">
      <c r="A80" t="s">
        <v>166</v>
      </c>
      <c r="B80" s="22">
        <f>E78</f>
        <v>5.6432930872481329E-3</v>
      </c>
      <c r="C80" s="20" t="s">
        <v>161</v>
      </c>
      <c r="D80" s="27"/>
      <c r="E80" s="20"/>
      <c r="F80" s="20"/>
    </row>
    <row r="81" spans="1:9" x14ac:dyDescent="0.3">
      <c r="A81" t="s">
        <v>167</v>
      </c>
      <c r="B81" s="22">
        <f>B76-B77-B78-B80</f>
        <v>13.293707161558611</v>
      </c>
      <c r="C81" s="20" t="s">
        <v>161</v>
      </c>
      <c r="D81" s="27"/>
      <c r="E81" s="20"/>
      <c r="F81" s="20"/>
    </row>
    <row r="82" spans="1:9" x14ac:dyDescent="0.3">
      <c r="B82" s="22"/>
      <c r="C82" s="20"/>
      <c r="D82" s="27"/>
      <c r="E82" s="20"/>
      <c r="F82" s="20"/>
    </row>
    <row r="83" spans="1:9" x14ac:dyDescent="0.3">
      <c r="A83" t="s">
        <v>171</v>
      </c>
      <c r="B83">
        <v>11</v>
      </c>
      <c r="C83" s="20" t="s">
        <v>161</v>
      </c>
    </row>
    <row r="84" spans="1:9" x14ac:dyDescent="0.3">
      <c r="A84" s="45" t="s">
        <v>112</v>
      </c>
      <c r="B84" s="45"/>
      <c r="C84" s="45"/>
      <c r="D84" s="45"/>
      <c r="E84" s="45"/>
      <c r="F84" s="45"/>
      <c r="G84" s="45"/>
      <c r="H84" s="45"/>
      <c r="I84" s="45"/>
    </row>
    <row r="85" spans="1:9" x14ac:dyDescent="0.3">
      <c r="A85" t="s">
        <v>114</v>
      </c>
      <c r="B85" s="23">
        <f>0.5*B21*(B3/(B23*10^-6))*(1/B9)*2</f>
        <v>0.33812341504649202</v>
      </c>
      <c r="C85" t="s">
        <v>23</v>
      </c>
      <c r="F85" s="47" t="s">
        <v>133</v>
      </c>
      <c r="G85" s="47"/>
    </row>
    <row r="86" spans="1:9" x14ac:dyDescent="0.3">
      <c r="A86" t="s">
        <v>116</v>
      </c>
      <c r="B86" s="23">
        <f>B100</f>
        <v>956.13236267372599</v>
      </c>
      <c r="D86" t="s">
        <v>117</v>
      </c>
      <c r="F86" s="47"/>
      <c r="G86" s="47"/>
      <c r="H86" t="s">
        <v>176</v>
      </c>
    </row>
    <row r="87" spans="1:9" x14ac:dyDescent="0.3">
      <c r="A87" t="s">
        <v>115</v>
      </c>
      <c r="B87" s="23">
        <f>(1/B21)*(B7+(B31/2))</f>
        <v>7.6039599999999998</v>
      </c>
      <c r="C87" t="s">
        <v>23</v>
      </c>
      <c r="F87" s="47"/>
      <c r="G87" s="47"/>
    </row>
    <row r="88" spans="1:9" x14ac:dyDescent="0.3">
      <c r="B88" s="23"/>
      <c r="F88" s="44"/>
      <c r="G88" s="44"/>
    </row>
    <row r="89" spans="1:9" x14ac:dyDescent="0.3">
      <c r="A89" t="s">
        <v>74</v>
      </c>
      <c r="B89" s="23">
        <v>2</v>
      </c>
      <c r="C89" t="s">
        <v>42</v>
      </c>
      <c r="F89" s="44"/>
      <c r="G89" s="44"/>
    </row>
    <row r="90" spans="1:9" x14ac:dyDescent="0.3">
      <c r="B90" s="23"/>
      <c r="F90" s="44"/>
      <c r="G90" s="44"/>
    </row>
    <row r="91" spans="1:9" x14ac:dyDescent="0.3">
      <c r="A91" t="s">
        <v>120</v>
      </c>
      <c r="B91" s="4">
        <f>B85^2*B89</f>
        <v>0.22865488760540462</v>
      </c>
      <c r="C91" t="s">
        <v>20</v>
      </c>
      <c r="F91" s="44"/>
      <c r="G91" s="44"/>
    </row>
    <row r="92" spans="1:9" x14ac:dyDescent="0.3">
      <c r="A92" t="s">
        <v>126</v>
      </c>
      <c r="B92" s="4" t="e">
        <f>0.5*#REF!*D6*(#REF!/(1-B36))*(B89/2)*#REF!</f>
        <v>#REF!</v>
      </c>
      <c r="C92" t="s">
        <v>20</v>
      </c>
      <c r="F92" s="44"/>
      <c r="G92" s="44"/>
    </row>
    <row r="93" spans="1:9" x14ac:dyDescent="0.3">
      <c r="A93" t="s">
        <v>127</v>
      </c>
      <c r="B93" s="4" t="e">
        <f>0.5*#REF!*D6*#REF!*(B89/2)*#REF!</f>
        <v>#REF!</v>
      </c>
      <c r="C93" t="s">
        <v>20</v>
      </c>
      <c r="F93" s="44"/>
      <c r="G93" s="44"/>
    </row>
    <row r="94" spans="1:9" x14ac:dyDescent="0.3">
      <c r="A94" t="s">
        <v>129</v>
      </c>
      <c r="B94" s="4" t="e">
        <f>B91+#REF!+B92+B93</f>
        <v>#REF!</v>
      </c>
      <c r="C94" t="s">
        <v>20</v>
      </c>
      <c r="F94" s="44"/>
      <c r="G94" s="44"/>
    </row>
    <row r="95" spans="1:9" x14ac:dyDescent="0.3">
      <c r="F95" s="44"/>
      <c r="G95" s="44"/>
    </row>
    <row r="96" spans="1:9" x14ac:dyDescent="0.3">
      <c r="B96" s="23"/>
      <c r="F96" s="44"/>
      <c r="G96" s="44"/>
    </row>
    <row r="97" spans="1:9" x14ac:dyDescent="0.3">
      <c r="B97" s="23"/>
      <c r="F97" s="44"/>
      <c r="G97" s="44"/>
    </row>
    <row r="98" spans="1:9" x14ac:dyDescent="0.3">
      <c r="B98" s="23"/>
      <c r="F98" s="44"/>
      <c r="G98" s="44"/>
    </row>
    <row r="99" spans="1:9" x14ac:dyDescent="0.3">
      <c r="A99" s="45" t="s">
        <v>113</v>
      </c>
      <c r="B99" s="45"/>
      <c r="C99" s="45"/>
      <c r="D99" s="45"/>
      <c r="E99" s="45"/>
      <c r="F99" s="45"/>
      <c r="G99" s="45"/>
      <c r="H99" s="45"/>
      <c r="I99" s="45"/>
    </row>
    <row r="100" spans="1:9" x14ac:dyDescent="0.3">
      <c r="A100" t="s">
        <v>118</v>
      </c>
      <c r="B100" s="4">
        <f>((B6^2)/(B6-(B3*B21)))*1.2</f>
        <v>956.13236267372599</v>
      </c>
      <c r="C100" t="s">
        <v>10</v>
      </c>
    </row>
    <row r="101" spans="1:9" x14ac:dyDescent="0.3">
      <c r="A101" t="s">
        <v>119</v>
      </c>
      <c r="B101" s="4">
        <f>SQRT(B106/B102)</f>
        <v>5.5123576586177476</v>
      </c>
      <c r="C101" t="s">
        <v>23</v>
      </c>
    </row>
    <row r="102" spans="1:9" x14ac:dyDescent="0.3">
      <c r="A102" t="s">
        <v>74</v>
      </c>
      <c r="B102">
        <v>0.2</v>
      </c>
      <c r="C102" t="s">
        <v>42</v>
      </c>
      <c r="F102" s="47" t="s">
        <v>132</v>
      </c>
      <c r="G102" s="47"/>
    </row>
    <row r="103" spans="1:9" x14ac:dyDescent="0.3">
      <c r="A103" t="s">
        <v>122</v>
      </c>
      <c r="B103" s="1">
        <f>D103*10^-9</f>
        <v>3.0000000000000004E-8</v>
      </c>
      <c r="C103" t="s">
        <v>125</v>
      </c>
      <c r="D103" s="14">
        <v>30</v>
      </c>
      <c r="E103" t="s">
        <v>124</v>
      </c>
      <c r="F103" s="47"/>
      <c r="G103" s="47"/>
      <c r="H103" t="s">
        <v>173</v>
      </c>
    </row>
    <row r="104" spans="1:9" x14ac:dyDescent="0.3">
      <c r="A104" t="s">
        <v>128</v>
      </c>
      <c r="B104" s="1">
        <f>D104*10^-9</f>
        <v>6.0000000000000008E-9</v>
      </c>
      <c r="C104" t="s">
        <v>125</v>
      </c>
      <c r="D104">
        <v>6</v>
      </c>
      <c r="E104" t="s">
        <v>124</v>
      </c>
      <c r="F104" s="47"/>
      <c r="G104" s="47"/>
    </row>
    <row r="106" spans="1:9" x14ac:dyDescent="0.3">
      <c r="A106" t="s">
        <v>120</v>
      </c>
      <c r="B106" s="4">
        <f>B21*(B3/B5)*((1/B21)*B7)^2*B102</f>
        <v>6.0772173913043472</v>
      </c>
      <c r="C106" t="s">
        <v>20</v>
      </c>
    </row>
    <row r="107" spans="1:9" x14ac:dyDescent="0.3">
      <c r="A107" t="s">
        <v>121</v>
      </c>
      <c r="B107">
        <f>B103*B11*B9</f>
        <v>3.0000000000000002E-2</v>
      </c>
      <c r="C107" t="s">
        <v>20</v>
      </c>
    </row>
    <row r="108" spans="1:9" x14ac:dyDescent="0.3">
      <c r="A108" t="s">
        <v>126</v>
      </c>
      <c r="B108" s="4">
        <f>0.5*B7*D21*(B6/(1-B51))*(B104/2)*B9</f>
        <v>1.6124303247480403</v>
      </c>
      <c r="C108" t="s">
        <v>20</v>
      </c>
    </row>
    <row r="109" spans="1:9" x14ac:dyDescent="0.3">
      <c r="A109" t="s">
        <v>127</v>
      </c>
      <c r="B109" s="4">
        <f>0.5*B7*D21*B6*(B104/2)*B9</f>
        <v>0.68796000000000002</v>
      </c>
      <c r="C109" t="s">
        <v>20</v>
      </c>
    </row>
    <row r="110" spans="1:9" x14ac:dyDescent="0.3">
      <c r="A110" t="s">
        <v>129</v>
      </c>
      <c r="B110" s="4">
        <f>B106+B107+B108+B109</f>
        <v>8.4076077160523877</v>
      </c>
      <c r="C110" t="s">
        <v>20</v>
      </c>
    </row>
    <row r="111" spans="1:9" x14ac:dyDescent="0.3">
      <c r="B111" s="4"/>
    </row>
    <row r="112" spans="1:9" x14ac:dyDescent="0.3">
      <c r="B112" s="22"/>
      <c r="C112" s="20"/>
      <c r="D112" s="27"/>
      <c r="E112" s="48" t="s">
        <v>168</v>
      </c>
      <c r="F112" s="48"/>
    </row>
    <row r="113" spans="1:9" x14ac:dyDescent="0.3">
      <c r="A113" t="s">
        <v>159</v>
      </c>
      <c r="B113" s="22">
        <f>(B14-B13)/B110</f>
        <v>8.9204923127900937</v>
      </c>
      <c r="C113" s="20" t="s">
        <v>161</v>
      </c>
      <c r="D113" s="27"/>
      <c r="E113" s="14">
        <v>0.35</v>
      </c>
      <c r="F113" s="20" t="s">
        <v>169</v>
      </c>
    </row>
    <row r="114" spans="1:9" x14ac:dyDescent="0.3">
      <c r="A114" t="s">
        <v>162</v>
      </c>
      <c r="B114" s="25">
        <v>0.9</v>
      </c>
      <c r="C114" s="20" t="s">
        <v>161</v>
      </c>
      <c r="D114" s="27"/>
      <c r="E114" s="20">
        <f>E113*B116</f>
        <v>112.84</v>
      </c>
      <c r="F114" s="20" t="s">
        <v>170</v>
      </c>
    </row>
    <row r="115" spans="1:9" x14ac:dyDescent="0.3">
      <c r="A115" t="s">
        <v>163</v>
      </c>
      <c r="B115" s="25">
        <v>1</v>
      </c>
      <c r="C115" s="20" t="s">
        <v>161</v>
      </c>
      <c r="D115" s="27" t="s">
        <v>172</v>
      </c>
      <c r="E115" s="20">
        <f>1/E114</f>
        <v>8.8621056362991838E-3</v>
      </c>
      <c r="F115" s="20" t="s">
        <v>161</v>
      </c>
    </row>
    <row r="116" spans="1:9" x14ac:dyDescent="0.3">
      <c r="A116" t="s">
        <v>164</v>
      </c>
      <c r="B116" s="22">
        <f>15.5*20.8</f>
        <v>322.40000000000003</v>
      </c>
      <c r="C116" s="20" t="s">
        <v>165</v>
      </c>
      <c r="D116" s="27"/>
      <c r="E116" s="20"/>
      <c r="F116" s="20"/>
    </row>
    <row r="117" spans="1:9" x14ac:dyDescent="0.3">
      <c r="A117" t="s">
        <v>166</v>
      </c>
      <c r="B117" s="22">
        <f>E115</f>
        <v>8.8621056362991838E-3</v>
      </c>
      <c r="C117" s="20" t="s">
        <v>161</v>
      </c>
      <c r="D117" s="27"/>
      <c r="E117" s="20"/>
      <c r="F117" s="20"/>
    </row>
    <row r="118" spans="1:9" x14ac:dyDescent="0.3">
      <c r="A118" t="s">
        <v>167</v>
      </c>
      <c r="B118" s="22">
        <f>B113-B114-B115-B117</f>
        <v>7.0116302071537939</v>
      </c>
      <c r="C118" s="20" t="s">
        <v>161</v>
      </c>
      <c r="D118" s="27"/>
      <c r="E118" s="20"/>
      <c r="F118" s="20"/>
    </row>
    <row r="119" spans="1:9" x14ac:dyDescent="0.3">
      <c r="B119" s="22"/>
      <c r="C119" s="20"/>
      <c r="D119" s="27"/>
      <c r="E119" s="20"/>
      <c r="F119" s="20"/>
    </row>
    <row r="120" spans="1:9" x14ac:dyDescent="0.3">
      <c r="A120" t="s">
        <v>174</v>
      </c>
      <c r="B120">
        <v>3.9</v>
      </c>
      <c r="C120" s="20" t="s">
        <v>161</v>
      </c>
    </row>
    <row r="121" spans="1:9" x14ac:dyDescent="0.3">
      <c r="A121" s="45" t="s">
        <v>134</v>
      </c>
      <c r="B121" s="45"/>
      <c r="C121" s="45"/>
      <c r="D121" s="45"/>
      <c r="E121" s="45"/>
      <c r="F121" s="45"/>
      <c r="G121" s="45"/>
      <c r="H121" s="45"/>
      <c r="I121" s="45"/>
    </row>
    <row r="122" spans="1:9" x14ac:dyDescent="0.3">
      <c r="A122" t="s">
        <v>135</v>
      </c>
      <c r="B122" s="4">
        <f>(B3/(1-(B3/(B5*D21))))*1.2</f>
        <v>67.501007838745792</v>
      </c>
      <c r="C122" t="s">
        <v>10</v>
      </c>
      <c r="D122" t="s">
        <v>137</v>
      </c>
    </row>
    <row r="123" spans="1:9" x14ac:dyDescent="0.3">
      <c r="A123" t="s">
        <v>135</v>
      </c>
      <c r="B123" s="4">
        <f>(B3/(B9*2*SQRT(B23*10^-6*B49)))</f>
        <v>30.154861431004125</v>
      </c>
      <c r="C123" t="s">
        <v>10</v>
      </c>
      <c r="D123" t="s">
        <v>136</v>
      </c>
    </row>
    <row r="124" spans="1:9" x14ac:dyDescent="0.3">
      <c r="A124" t="s">
        <v>138</v>
      </c>
      <c r="B124">
        <f>SQRT(B51*(B7^2+(B31^2/12)))</f>
        <v>30.297673990121055</v>
      </c>
      <c r="C124" t="s">
        <v>23</v>
      </c>
    </row>
    <row r="125" spans="1:9" x14ac:dyDescent="0.3">
      <c r="F125" s="47" t="s">
        <v>141</v>
      </c>
      <c r="G125" s="47"/>
    </row>
    <row r="126" spans="1:9" x14ac:dyDescent="0.3">
      <c r="A126" t="s">
        <v>74</v>
      </c>
      <c r="B126" s="21">
        <f>D126*10^-3</f>
        <v>1.9E-3</v>
      </c>
      <c r="C126" t="s">
        <v>42</v>
      </c>
      <c r="D126">
        <v>1.9</v>
      </c>
      <c r="E126" t="s">
        <v>43</v>
      </c>
      <c r="F126" s="47"/>
      <c r="G126" s="47"/>
      <c r="H126" t="s">
        <v>176</v>
      </c>
    </row>
    <row r="127" spans="1:9" x14ac:dyDescent="0.3">
      <c r="A127" t="s">
        <v>122</v>
      </c>
      <c r="B127" s="1">
        <f>D127*10^-9</f>
        <v>1.24E-7</v>
      </c>
      <c r="C127" t="s">
        <v>125</v>
      </c>
      <c r="D127">
        <v>124</v>
      </c>
      <c r="E127" t="s">
        <v>124</v>
      </c>
      <c r="F127" s="47"/>
      <c r="G127" s="47"/>
    </row>
    <row r="129" spans="1:9" x14ac:dyDescent="0.3">
      <c r="A129" t="s">
        <v>139</v>
      </c>
      <c r="B129" s="4">
        <f>(B124^2*B126)+(B11*B127*B9)</f>
        <v>1.8681031935021499</v>
      </c>
      <c r="C129" t="s">
        <v>20</v>
      </c>
    </row>
    <row r="130" spans="1:9" x14ac:dyDescent="0.3">
      <c r="B130" s="4"/>
    </row>
    <row r="131" spans="1:9" x14ac:dyDescent="0.3">
      <c r="B131" s="22"/>
      <c r="C131" s="20"/>
      <c r="D131" s="27"/>
      <c r="E131" s="48" t="s">
        <v>168</v>
      </c>
      <c r="F131" s="48"/>
    </row>
    <row r="132" spans="1:9" x14ac:dyDescent="0.3">
      <c r="A132" t="s">
        <v>159</v>
      </c>
      <c r="B132" s="22">
        <f>(B14-B13)/B129</f>
        <v>40.147675064671787</v>
      </c>
      <c r="C132" s="20" t="s">
        <v>161</v>
      </c>
      <c r="D132" s="27"/>
      <c r="E132" s="14">
        <v>0.35</v>
      </c>
      <c r="F132" s="20" t="s">
        <v>169</v>
      </c>
    </row>
    <row r="133" spans="1:9" x14ac:dyDescent="0.3">
      <c r="A133" t="s">
        <v>162</v>
      </c>
      <c r="B133" s="25">
        <v>0.6</v>
      </c>
      <c r="C133" s="20" t="s">
        <v>161</v>
      </c>
      <c r="D133" s="27"/>
      <c r="E133" s="20">
        <f>E132*B135</f>
        <v>112.84</v>
      </c>
      <c r="F133" s="20" t="s">
        <v>170</v>
      </c>
    </row>
    <row r="134" spans="1:9" x14ac:dyDescent="0.3">
      <c r="A134" t="s">
        <v>163</v>
      </c>
      <c r="B134" s="25">
        <v>1</v>
      </c>
      <c r="C134" s="20" t="s">
        <v>161</v>
      </c>
      <c r="D134" s="27" t="s">
        <v>172</v>
      </c>
      <c r="E134" s="20">
        <f>1/E133</f>
        <v>8.8621056362991838E-3</v>
      </c>
      <c r="F134" s="20" t="s">
        <v>161</v>
      </c>
    </row>
    <row r="135" spans="1:9" x14ac:dyDescent="0.3">
      <c r="A135" t="s">
        <v>164</v>
      </c>
      <c r="B135" s="22">
        <f>15.5*20.8</f>
        <v>322.40000000000003</v>
      </c>
      <c r="C135" s="20" t="s">
        <v>165</v>
      </c>
      <c r="D135" s="27"/>
      <c r="E135" s="20"/>
      <c r="F135" s="20"/>
    </row>
    <row r="136" spans="1:9" x14ac:dyDescent="0.3">
      <c r="A136" t="s">
        <v>166</v>
      </c>
      <c r="B136" s="22">
        <f>E134</f>
        <v>8.8621056362991838E-3</v>
      </c>
      <c r="C136" s="20" t="s">
        <v>161</v>
      </c>
      <c r="D136" s="27"/>
      <c r="E136" s="20"/>
      <c r="F136" s="20"/>
    </row>
    <row r="137" spans="1:9" x14ac:dyDescent="0.3">
      <c r="A137" t="s">
        <v>167</v>
      </c>
      <c r="B137" s="22">
        <f>B132-B133-B134-B136</f>
        <v>38.538812959035489</v>
      </c>
      <c r="C137" s="20" t="s">
        <v>161</v>
      </c>
      <c r="D137" s="27"/>
      <c r="E137" s="20"/>
      <c r="F137" s="20"/>
    </row>
    <row r="138" spans="1:9" x14ac:dyDescent="0.3">
      <c r="B138" s="22"/>
      <c r="C138" s="20"/>
      <c r="D138" s="27"/>
      <c r="E138" s="20"/>
      <c r="F138" s="20"/>
    </row>
    <row r="139" spans="1:9" x14ac:dyDescent="0.3">
      <c r="A139" t="s">
        <v>177</v>
      </c>
      <c r="B139">
        <v>12</v>
      </c>
      <c r="C139" t="s">
        <v>161</v>
      </c>
    </row>
    <row r="140" spans="1:9" x14ac:dyDescent="0.3">
      <c r="A140" s="45" t="s">
        <v>144</v>
      </c>
      <c r="B140" s="45"/>
      <c r="C140" s="45"/>
      <c r="D140" s="45"/>
      <c r="E140" s="45"/>
      <c r="F140" s="45"/>
      <c r="G140" s="45"/>
      <c r="H140" s="45"/>
      <c r="I140" s="45"/>
    </row>
    <row r="141" spans="1:9" x14ac:dyDescent="0.3">
      <c r="A141" t="s">
        <v>145</v>
      </c>
    </row>
    <row r="142" spans="1:9" x14ac:dyDescent="0.3">
      <c r="A142" t="s">
        <v>151</v>
      </c>
      <c r="B142" t="s">
        <v>146</v>
      </c>
      <c r="C142" t="s">
        <v>152</v>
      </c>
    </row>
    <row r="143" spans="1:9" x14ac:dyDescent="0.3">
      <c r="A143" t="s">
        <v>147</v>
      </c>
      <c r="B143">
        <v>15</v>
      </c>
      <c r="C143">
        <v>6.25</v>
      </c>
    </row>
    <row r="144" spans="1:9" x14ac:dyDescent="0.3">
      <c r="A144" t="s">
        <v>150</v>
      </c>
      <c r="B144" t="s">
        <v>148</v>
      </c>
      <c r="C144" t="s">
        <v>153</v>
      </c>
    </row>
    <row r="145" spans="1:3" x14ac:dyDescent="0.3">
      <c r="A145" t="s">
        <v>149</v>
      </c>
      <c r="B145">
        <v>800</v>
      </c>
      <c r="C145">
        <v>1000</v>
      </c>
    </row>
  </sheetData>
  <mergeCells count="16">
    <mergeCell ref="A140:I140"/>
    <mergeCell ref="A47:I47"/>
    <mergeCell ref="A15:I15"/>
    <mergeCell ref="A29:I29"/>
    <mergeCell ref="A56:I56"/>
    <mergeCell ref="E75:F75"/>
    <mergeCell ref="E112:F112"/>
    <mergeCell ref="E131:F131"/>
    <mergeCell ref="A1:I1"/>
    <mergeCell ref="G63:I66"/>
    <mergeCell ref="A121:I121"/>
    <mergeCell ref="F125:G127"/>
    <mergeCell ref="A84:I84"/>
    <mergeCell ref="A99:I99"/>
    <mergeCell ref="F102:G104"/>
    <mergeCell ref="F85:G87"/>
  </mergeCells>
  <phoneticPr fontId="2" type="noConversion"/>
  <hyperlinks>
    <hyperlink ref="G34" r:id="rId1" display="https://www.coilcraft.com/en-us/products/power/shielded-inductors/high-current-flat-wire/agp-ver/agm2222/?skuId=30439" xr:uid="{65A06BCB-7F4F-4354-B81C-D2D05E16C3B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3A2CA-5251-4135-8185-F29704CC83A6}">
  <dimension ref="A1:AP106"/>
  <sheetViews>
    <sheetView topLeftCell="D52" zoomScaleNormal="100" workbookViewId="0">
      <selection activeCell="O22" sqref="O1:O1048576"/>
    </sheetView>
  </sheetViews>
  <sheetFormatPr baseColWidth="10" defaultRowHeight="14.4" x14ac:dyDescent="0.3"/>
  <cols>
    <col min="11" max="16" width="16.21875" bestFit="1" customWidth="1"/>
    <col min="17" max="21" width="15.21875" bestFit="1" customWidth="1"/>
    <col min="37" max="37" width="11.5546875" style="36"/>
  </cols>
  <sheetData>
    <row r="1" spans="1:41" x14ac:dyDescent="0.3">
      <c r="A1" s="45" t="s">
        <v>109</v>
      </c>
      <c r="B1" s="45"/>
      <c r="C1" s="45"/>
      <c r="D1" s="45"/>
      <c r="E1" s="45"/>
      <c r="F1" s="45"/>
      <c r="G1" s="45"/>
      <c r="H1" s="45"/>
      <c r="I1" s="45"/>
    </row>
    <row r="2" spans="1:41" x14ac:dyDescent="0.3">
      <c r="A2" t="s">
        <v>0</v>
      </c>
      <c r="G2" s="6" t="s">
        <v>110</v>
      </c>
    </row>
    <row r="3" spans="1:41" x14ac:dyDescent="0.3">
      <c r="A3" t="s">
        <v>1</v>
      </c>
      <c r="B3" s="14">
        <v>24</v>
      </c>
      <c r="C3" t="s">
        <v>10</v>
      </c>
      <c r="G3" s="14" t="s">
        <v>111</v>
      </c>
    </row>
    <row r="4" spans="1:41" x14ac:dyDescent="0.3">
      <c r="A4" t="s">
        <v>21</v>
      </c>
      <c r="B4" s="14">
        <v>960</v>
      </c>
      <c r="C4" t="s">
        <v>20</v>
      </c>
    </row>
    <row r="5" spans="1:41" x14ac:dyDescent="0.3">
      <c r="A5" t="s">
        <v>30</v>
      </c>
      <c r="B5" s="14">
        <v>230</v>
      </c>
      <c r="C5" t="s">
        <v>10</v>
      </c>
      <c r="D5" t="s">
        <v>12</v>
      </c>
    </row>
    <row r="6" spans="1:41" x14ac:dyDescent="0.3">
      <c r="A6" t="s">
        <v>31</v>
      </c>
      <c r="B6" s="14">
        <v>630</v>
      </c>
      <c r="C6" t="s">
        <v>10</v>
      </c>
      <c r="D6" t="s">
        <v>32</v>
      </c>
    </row>
    <row r="7" spans="1:41" x14ac:dyDescent="0.3">
      <c r="A7" t="s">
        <v>19</v>
      </c>
      <c r="B7" s="14">
        <f>B4/B3</f>
        <v>40</v>
      </c>
      <c r="C7" t="s">
        <v>23</v>
      </c>
    </row>
    <row r="9" spans="1:41" x14ac:dyDescent="0.3">
      <c r="A9" t="s">
        <v>3</v>
      </c>
      <c r="B9" s="14">
        <f>100*10^3</f>
        <v>100000</v>
      </c>
      <c r="C9" t="s">
        <v>26</v>
      </c>
      <c r="D9" t="s">
        <v>4</v>
      </c>
      <c r="J9" t="s">
        <v>3</v>
      </c>
      <c r="K9" s="14">
        <v>100000</v>
      </c>
      <c r="L9">
        <v>110000</v>
      </c>
      <c r="M9" s="14">
        <v>120000</v>
      </c>
      <c r="N9">
        <v>130000</v>
      </c>
      <c r="O9" s="14">
        <v>140000</v>
      </c>
      <c r="P9">
        <v>150000</v>
      </c>
      <c r="Q9" s="14">
        <v>160000</v>
      </c>
      <c r="R9">
        <v>170000</v>
      </c>
      <c r="S9" s="14">
        <v>180000</v>
      </c>
      <c r="T9">
        <v>190000</v>
      </c>
      <c r="U9" s="14">
        <v>200000</v>
      </c>
      <c r="V9" s="14">
        <v>210000</v>
      </c>
      <c r="W9">
        <v>220000</v>
      </c>
      <c r="X9" s="14">
        <v>230000</v>
      </c>
      <c r="Y9">
        <v>240000</v>
      </c>
      <c r="Z9" s="14">
        <v>250000</v>
      </c>
      <c r="AA9">
        <v>260000</v>
      </c>
      <c r="AB9" s="14">
        <v>270000</v>
      </c>
      <c r="AC9">
        <v>280000</v>
      </c>
      <c r="AD9" s="14">
        <v>290000</v>
      </c>
      <c r="AE9">
        <v>300000</v>
      </c>
      <c r="AF9" s="14">
        <v>310000</v>
      </c>
      <c r="AG9">
        <v>320000</v>
      </c>
      <c r="AH9" s="14">
        <v>330000</v>
      </c>
      <c r="AI9">
        <v>340000</v>
      </c>
      <c r="AJ9" s="14">
        <v>350000</v>
      </c>
      <c r="AK9" s="36">
        <v>360000</v>
      </c>
      <c r="AL9" s="14">
        <v>370000</v>
      </c>
      <c r="AM9">
        <v>380000</v>
      </c>
      <c r="AN9" s="14">
        <v>390000</v>
      </c>
      <c r="AO9">
        <v>400000</v>
      </c>
    </row>
    <row r="10" spans="1:41" x14ac:dyDescent="0.3">
      <c r="A10" t="s">
        <v>69</v>
      </c>
      <c r="B10" s="14">
        <v>2</v>
      </c>
      <c r="C10" t="s">
        <v>70</v>
      </c>
    </row>
    <row r="11" spans="1:41" x14ac:dyDescent="0.3">
      <c r="A11" t="s">
        <v>123</v>
      </c>
      <c r="B11" s="14">
        <v>10</v>
      </c>
      <c r="C11" t="s">
        <v>10</v>
      </c>
    </row>
    <row r="12" spans="1:41" x14ac:dyDescent="0.3">
      <c r="B12" s="20"/>
    </row>
    <row r="13" spans="1:41" x14ac:dyDescent="0.3">
      <c r="A13" s="45" t="s">
        <v>108</v>
      </c>
      <c r="B13" s="45"/>
      <c r="C13" s="45"/>
      <c r="D13" s="45"/>
      <c r="E13" s="45"/>
      <c r="F13" s="45"/>
      <c r="G13" s="45"/>
      <c r="H13" s="45"/>
      <c r="I13" s="45"/>
    </row>
    <row r="14" spans="1:41" x14ac:dyDescent="0.3">
      <c r="A14" t="s">
        <v>5</v>
      </c>
      <c r="B14" s="14">
        <v>0.6</v>
      </c>
      <c r="C14" t="s">
        <v>11</v>
      </c>
      <c r="D14" s="14">
        <v>0.7</v>
      </c>
      <c r="E14" t="s">
        <v>6</v>
      </c>
    </row>
    <row r="15" spans="1:41" x14ac:dyDescent="0.3">
      <c r="A15" t="s">
        <v>7</v>
      </c>
      <c r="B15" s="15">
        <v>4.4499999999999998E-2</v>
      </c>
      <c r="D15" t="s">
        <v>8</v>
      </c>
    </row>
    <row r="17" spans="1:41" x14ac:dyDescent="0.3">
      <c r="A17" t="s">
        <v>16</v>
      </c>
      <c r="B17" s="6">
        <f>(B5/B3)*B14</f>
        <v>5.75</v>
      </c>
      <c r="C17" t="s">
        <v>2</v>
      </c>
      <c r="D17" s="11">
        <f>(B5/B3)*D14</f>
        <v>6.708333333333333</v>
      </c>
    </row>
    <row r="18" spans="1:41" x14ac:dyDescent="0.3">
      <c r="A18" t="s">
        <v>17</v>
      </c>
      <c r="B18" s="16">
        <f>I21</f>
        <v>10.989010989010989</v>
      </c>
    </row>
    <row r="19" spans="1:41" x14ac:dyDescent="0.3">
      <c r="A19" t="s">
        <v>36</v>
      </c>
      <c r="B19" s="7">
        <f>I21/I23</f>
        <v>5.4945054945054945</v>
      </c>
      <c r="C19" t="s">
        <v>130</v>
      </c>
      <c r="D19" s="19">
        <f>1/B19</f>
        <v>0.182</v>
      </c>
      <c r="E19" t="s">
        <v>131</v>
      </c>
    </row>
    <row r="20" spans="1:41" x14ac:dyDescent="0.3">
      <c r="E20" t="s">
        <v>18</v>
      </c>
      <c r="F20" t="s">
        <v>34</v>
      </c>
      <c r="I20" s="3" t="s">
        <v>34</v>
      </c>
    </row>
    <row r="21" spans="1:41" x14ac:dyDescent="0.3">
      <c r="A21" t="s">
        <v>13</v>
      </c>
      <c r="B21" s="14">
        <f>I22</f>
        <v>3900</v>
      </c>
      <c r="C21" t="s">
        <v>15</v>
      </c>
      <c r="E21" t="s">
        <v>9</v>
      </c>
      <c r="F21" s="14">
        <f>1/0.083</f>
        <v>12.048192771084336</v>
      </c>
      <c r="G21" s="14">
        <f>1/0.182</f>
        <v>5.4945054945054945</v>
      </c>
      <c r="H21" s="14">
        <f>1/0.363</f>
        <v>2.7548209366391188</v>
      </c>
      <c r="I21" s="14">
        <f>1/0.091</f>
        <v>10.989010989010989</v>
      </c>
    </row>
    <row r="22" spans="1:41" x14ac:dyDescent="0.3">
      <c r="A22" t="s">
        <v>14</v>
      </c>
      <c r="B22" s="7">
        <f>B21/(B18^2)</f>
        <v>32.295899999999996</v>
      </c>
      <c r="C22" t="s">
        <v>15</v>
      </c>
      <c r="E22" t="s">
        <v>13</v>
      </c>
      <c r="F22" s="14">
        <v>3100</v>
      </c>
      <c r="G22" s="14">
        <v>2600</v>
      </c>
      <c r="H22" s="14">
        <v>2600</v>
      </c>
      <c r="I22" s="14">
        <v>3900</v>
      </c>
    </row>
    <row r="23" spans="1:41" x14ac:dyDescent="0.3">
      <c r="E23" t="s">
        <v>35</v>
      </c>
      <c r="F23" s="14">
        <v>2</v>
      </c>
      <c r="G23" s="14">
        <v>1</v>
      </c>
      <c r="H23" s="14">
        <v>1</v>
      </c>
      <c r="I23" s="14">
        <v>2</v>
      </c>
    </row>
    <row r="24" spans="1:41" x14ac:dyDescent="0.3">
      <c r="A24" t="s">
        <v>40</v>
      </c>
      <c r="B24" s="14">
        <v>3</v>
      </c>
      <c r="C24" t="s">
        <v>15</v>
      </c>
    </row>
    <row r="25" spans="1:41" x14ac:dyDescent="0.3">
      <c r="A25" t="s">
        <v>39</v>
      </c>
      <c r="B25" s="7">
        <f>1-(B24/B21)</f>
        <v>0.99923076923076926</v>
      </c>
    </row>
    <row r="27" spans="1:41" x14ac:dyDescent="0.3">
      <c r="A27" s="45" t="s">
        <v>107</v>
      </c>
      <c r="B27" s="45"/>
      <c r="C27" s="45"/>
      <c r="D27" s="45"/>
      <c r="E27" s="45"/>
      <c r="F27" s="45"/>
      <c r="G27" s="45"/>
      <c r="H27" s="45"/>
      <c r="I27" s="45"/>
    </row>
    <row r="28" spans="1:41" x14ac:dyDescent="0.3">
      <c r="A28" t="s">
        <v>22</v>
      </c>
      <c r="B28" s="6">
        <f>B7*0.2</f>
        <v>8</v>
      </c>
      <c r="C28" t="s">
        <v>23</v>
      </c>
    </row>
    <row r="29" spans="1:41" x14ac:dyDescent="0.3">
      <c r="A29" t="s">
        <v>24</v>
      </c>
      <c r="B29" s="6">
        <f>B28*2</f>
        <v>16</v>
      </c>
      <c r="C29" t="s">
        <v>23</v>
      </c>
    </row>
    <row r="30" spans="1:41" x14ac:dyDescent="0.3">
      <c r="A30" t="s">
        <v>28</v>
      </c>
      <c r="B30" s="29">
        <f>(1-((1/$B$5)*$B$19*$B$3))*1/$B$29*$B$3*1/B9</f>
        <v>6.3999044433827044E-6</v>
      </c>
      <c r="C30" t="s">
        <v>27</v>
      </c>
      <c r="D30" s="23">
        <f>B30*10^6</f>
        <v>6.3999044433827041</v>
      </c>
      <c r="E30" t="s">
        <v>15</v>
      </c>
      <c r="J30" t="s">
        <v>15</v>
      </c>
      <c r="K30" s="32">
        <f>((1-((1/$B$5)*$B$19*$B$3))*1/$B$29*$B$3*1/K9)*10^6</f>
        <v>6.3999044433827041</v>
      </c>
      <c r="L30" s="32">
        <f t="shared" ref="L30:U30" si="0">((1-((1/$B$5)*$B$19*$B$3))*1/$B$29*$B$3*1/L9)*10^6</f>
        <v>5.8180949485297315</v>
      </c>
      <c r="M30" s="32">
        <f t="shared" si="0"/>
        <v>5.3332537028189204</v>
      </c>
      <c r="N30" s="32">
        <f t="shared" si="0"/>
        <v>4.9230034179866964</v>
      </c>
      <c r="O30" s="32">
        <f t="shared" si="0"/>
        <v>4.5713603167019317</v>
      </c>
      <c r="P30" s="32">
        <f t="shared" si="0"/>
        <v>4.2666029622551367</v>
      </c>
      <c r="Q30" s="32">
        <f t="shared" si="0"/>
        <v>3.9999402771141903</v>
      </c>
      <c r="R30" s="32">
        <f t="shared" si="0"/>
        <v>3.7646496725780616</v>
      </c>
      <c r="S30" s="32">
        <f t="shared" si="0"/>
        <v>3.5555024685459471</v>
      </c>
      <c r="T30" s="32">
        <f t="shared" si="0"/>
        <v>3.3683707596751078</v>
      </c>
      <c r="U30" s="32">
        <f t="shared" si="0"/>
        <v>3.1999522216913521</v>
      </c>
      <c r="V30" s="32">
        <f t="shared" ref="V30:AE30" si="1">((1-((1/$B$5)*$B$19*$B$3))*1/$B$29*$B$3*1/V9)*10^6</f>
        <v>3.0475735444679546</v>
      </c>
      <c r="W30" s="32">
        <f t="shared" si="1"/>
        <v>2.9090474742648658</v>
      </c>
      <c r="X30" s="32">
        <f t="shared" si="1"/>
        <v>2.7825671492968285</v>
      </c>
      <c r="Y30" s="32">
        <f t="shared" si="1"/>
        <v>2.6666268514094602</v>
      </c>
      <c r="Z30" s="32">
        <f t="shared" si="1"/>
        <v>2.5599617773530818</v>
      </c>
      <c r="AA30" s="32">
        <f t="shared" si="1"/>
        <v>2.4615017089933482</v>
      </c>
      <c r="AB30" s="32">
        <f t="shared" si="1"/>
        <v>2.3703349790306314</v>
      </c>
      <c r="AC30" s="32">
        <f t="shared" si="1"/>
        <v>2.2856801583509658</v>
      </c>
      <c r="AD30" s="32">
        <f t="shared" si="1"/>
        <v>2.2068636011664502</v>
      </c>
      <c r="AE30" s="32">
        <f t="shared" si="1"/>
        <v>2.1333014811275683</v>
      </c>
      <c r="AF30" s="32">
        <f t="shared" ref="AF30:AO30" si="2">((1-((1/$B$5)*$B$19*$B$3))*1/$B$29*$B$3*1/AF9)*10^6</f>
        <v>2.0644853043170017</v>
      </c>
      <c r="AG30" s="32">
        <f t="shared" si="2"/>
        <v>1.9999701385570952</v>
      </c>
      <c r="AH30" s="32">
        <f t="shared" si="2"/>
        <v>1.939364982843244</v>
      </c>
      <c r="AI30" s="32">
        <f t="shared" si="2"/>
        <v>1.8823248362890308</v>
      </c>
      <c r="AJ30" s="32">
        <f t="shared" si="2"/>
        <v>1.8285441266807727</v>
      </c>
      <c r="AK30" s="37">
        <f t="shared" si="2"/>
        <v>1.7777512342729735</v>
      </c>
      <c r="AL30" s="32">
        <f t="shared" si="2"/>
        <v>1.7297039036169473</v>
      </c>
      <c r="AM30" s="32">
        <f t="shared" si="2"/>
        <v>1.6841853798375539</v>
      </c>
      <c r="AN30" s="32">
        <f t="shared" si="2"/>
        <v>1.6410011393288988</v>
      </c>
      <c r="AO30" s="32">
        <f t="shared" si="2"/>
        <v>1.599976110845676</v>
      </c>
    </row>
    <row r="31" spans="1:41" x14ac:dyDescent="0.3">
      <c r="A31" t="s">
        <v>29</v>
      </c>
      <c r="B31" s="29">
        <f>(1-((1/$B$6)*$B$19*$B$3))*1/$B$29*$B$3*1/B9</f>
        <v>1.1860282574568289E-5</v>
      </c>
      <c r="C31" t="s">
        <v>27</v>
      </c>
      <c r="D31" s="23">
        <f>B31*10^6</f>
        <v>11.86028257456829</v>
      </c>
      <c r="E31" t="s">
        <v>15</v>
      </c>
      <c r="J31" t="s">
        <v>15</v>
      </c>
      <c r="K31" s="32">
        <f>((1-((1/$B$6)*$B$19*$B$3))*1/$B$29*$B$3*1/K9)*10^6</f>
        <v>11.86028257456829</v>
      </c>
      <c r="L31" s="32">
        <f t="shared" ref="L31:U31" si="3">((1-((1/$B$6)*$B$19*$B$3))*1/$B$29*$B$3*1/L9)*10^6</f>
        <v>10.782075067789352</v>
      </c>
      <c r="M31" s="32">
        <f t="shared" si="3"/>
        <v>9.8835688121402399</v>
      </c>
      <c r="N31" s="32">
        <f t="shared" si="3"/>
        <v>9.1232942881294523</v>
      </c>
      <c r="O31" s="32">
        <f t="shared" si="3"/>
        <v>8.4716304104059201</v>
      </c>
      <c r="P31" s="32">
        <f t="shared" si="3"/>
        <v>7.9068550497121919</v>
      </c>
      <c r="Q31" s="32">
        <f t="shared" si="3"/>
        <v>7.4126766091051799</v>
      </c>
      <c r="R31" s="32">
        <f t="shared" si="3"/>
        <v>6.9766368085695811</v>
      </c>
      <c r="S31" s="32">
        <f t="shared" si="3"/>
        <v>6.5890458747601608</v>
      </c>
      <c r="T31" s="32">
        <f t="shared" si="3"/>
        <v>6.2422539866148883</v>
      </c>
      <c r="U31" s="32">
        <f t="shared" si="3"/>
        <v>5.9301412872841448</v>
      </c>
      <c r="V31" s="32">
        <f t="shared" ref="V31:AE31" si="4">((1-((1/$B$6)*$B$19*$B$3))*1/$B$29*$B$3*1/V9)*10^6</f>
        <v>5.6477536069372798</v>
      </c>
      <c r="W31" s="32">
        <f t="shared" si="4"/>
        <v>5.3910375338946759</v>
      </c>
      <c r="X31" s="32">
        <f t="shared" si="4"/>
        <v>5.1566445976383868</v>
      </c>
      <c r="Y31" s="32">
        <f t="shared" si="4"/>
        <v>4.9417844060701199</v>
      </c>
      <c r="Z31" s="32">
        <f t="shared" si="4"/>
        <v>4.7441130298273153</v>
      </c>
      <c r="AA31" s="32">
        <f t="shared" si="4"/>
        <v>4.5616471440647262</v>
      </c>
      <c r="AB31" s="32">
        <f t="shared" si="4"/>
        <v>4.3926972498401069</v>
      </c>
      <c r="AC31" s="32">
        <f t="shared" si="4"/>
        <v>4.2358152052029601</v>
      </c>
      <c r="AD31" s="32">
        <f t="shared" si="4"/>
        <v>4.0897526119200993</v>
      </c>
      <c r="AE31" s="32">
        <f t="shared" si="4"/>
        <v>3.9534275248560959</v>
      </c>
      <c r="AF31" s="32">
        <f t="shared" ref="AF31:AO31" si="5">((1-((1/$B$6)*$B$19*$B$3))*1/$B$29*$B$3*1/AF9)*10^6</f>
        <v>3.8258976046994477</v>
      </c>
      <c r="AG31" s="32">
        <f t="shared" si="5"/>
        <v>3.7063383045525899</v>
      </c>
      <c r="AH31" s="32">
        <f t="shared" si="5"/>
        <v>3.5940250225964512</v>
      </c>
      <c r="AI31" s="32">
        <f t="shared" si="5"/>
        <v>3.4883184042847906</v>
      </c>
      <c r="AJ31" s="32">
        <f t="shared" si="5"/>
        <v>3.3886521641623681</v>
      </c>
      <c r="AK31" s="37">
        <f t="shared" si="5"/>
        <v>3.2945229373800804</v>
      </c>
      <c r="AL31" s="32">
        <f t="shared" si="5"/>
        <v>3.2054817769103483</v>
      </c>
      <c r="AM31" s="32">
        <f t="shared" si="5"/>
        <v>3.1211269933074441</v>
      </c>
      <c r="AN31" s="32">
        <f t="shared" si="5"/>
        <v>3.0410980960431506</v>
      </c>
      <c r="AO31" s="32">
        <f t="shared" si="5"/>
        <v>2.9650706436420724</v>
      </c>
    </row>
    <row r="32" spans="1:41" x14ac:dyDescent="0.3">
      <c r="A32" t="s">
        <v>25</v>
      </c>
      <c r="B32" s="14">
        <v>60</v>
      </c>
      <c r="C32" t="s">
        <v>15</v>
      </c>
      <c r="D32" s="2" t="s">
        <v>37</v>
      </c>
      <c r="E32" t="s">
        <v>33</v>
      </c>
      <c r="F32" t="s">
        <v>38</v>
      </c>
    </row>
    <row r="33" spans="1:41" x14ac:dyDescent="0.3">
      <c r="D33" s="2"/>
    </row>
    <row r="34" spans="1:41" x14ac:dyDescent="0.3">
      <c r="A34" t="s">
        <v>61</v>
      </c>
      <c r="B34" s="17">
        <v>0.01</v>
      </c>
      <c r="C34" t="s">
        <v>62</v>
      </c>
      <c r="D34" s="9">
        <f>B3*B34</f>
        <v>0.24</v>
      </c>
      <c r="E34" t="s">
        <v>63</v>
      </c>
    </row>
    <row r="35" spans="1:41" x14ac:dyDescent="0.3">
      <c r="A35" t="s">
        <v>64</v>
      </c>
      <c r="B35" s="14">
        <v>0.2</v>
      </c>
      <c r="D35" s="2"/>
    </row>
    <row r="36" spans="1:41" x14ac:dyDescent="0.3">
      <c r="A36" t="s">
        <v>65</v>
      </c>
      <c r="B36" s="29">
        <f>$B$29/(8*B9*($D$34-$B$29*$B$35))</f>
        <v>-6.7567567567567567E-6</v>
      </c>
      <c r="C36" t="s">
        <v>53</v>
      </c>
      <c r="D36" s="18">
        <f>-B36*10^6</f>
        <v>6.756756756756757</v>
      </c>
      <c r="E36" t="s">
        <v>66</v>
      </c>
      <c r="F36" t="s">
        <v>67</v>
      </c>
      <c r="J36" t="s">
        <v>66</v>
      </c>
      <c r="K36" s="32">
        <f>($B$29/(8*K9*($D$34-$B$29*$B$35)))*10^6</f>
        <v>-6.756756756756757</v>
      </c>
      <c r="L36" s="32">
        <f t="shared" ref="L36:U36" si="6">($B$29/(8*L9*($D$34-$B$29*$B$35)))*10^6</f>
        <v>-6.1425061425061429</v>
      </c>
      <c r="M36" s="32">
        <f t="shared" si="6"/>
        <v>-5.6306306306306304</v>
      </c>
      <c r="N36" s="32">
        <f t="shared" si="6"/>
        <v>-5.1975051975051976</v>
      </c>
      <c r="O36" s="32">
        <f t="shared" si="6"/>
        <v>-4.8262548262548268</v>
      </c>
      <c r="P36" s="32">
        <f t="shared" si="6"/>
        <v>-4.5045045045045047</v>
      </c>
      <c r="Q36" s="32">
        <f t="shared" si="6"/>
        <v>-4.2229729729729728</v>
      </c>
      <c r="R36" s="32">
        <f t="shared" si="6"/>
        <v>-3.9745627980922098</v>
      </c>
      <c r="S36" s="32">
        <f t="shared" si="6"/>
        <v>-3.7537537537537538</v>
      </c>
      <c r="T36" s="32">
        <f t="shared" si="6"/>
        <v>-3.5561877667140824</v>
      </c>
      <c r="U36" s="32">
        <f t="shared" si="6"/>
        <v>-3.3783783783783785</v>
      </c>
      <c r="V36" s="32">
        <f t="shared" ref="V36:AE36" si="7">($B$29/(8*V9*($D$34-$B$29*$B$35)))*10^6</f>
        <v>-3.2175032175032174</v>
      </c>
      <c r="W36" s="32">
        <f t="shared" si="7"/>
        <v>-3.0712530712530715</v>
      </c>
      <c r="X36" s="32">
        <f t="shared" si="7"/>
        <v>-2.9377203290246769</v>
      </c>
      <c r="Y36" s="32">
        <f t="shared" si="7"/>
        <v>-2.8153153153153152</v>
      </c>
      <c r="Z36" s="32">
        <f t="shared" si="7"/>
        <v>-2.7027027027027026</v>
      </c>
      <c r="AA36" s="32">
        <f t="shared" si="7"/>
        <v>-2.5987525987525988</v>
      </c>
      <c r="AB36" s="32">
        <f t="shared" si="7"/>
        <v>-2.5025025025025025</v>
      </c>
      <c r="AC36" s="32">
        <f t="shared" si="7"/>
        <v>-2.4131274131274134</v>
      </c>
      <c r="AD36" s="32">
        <f t="shared" si="7"/>
        <v>-2.3299161230195713</v>
      </c>
      <c r="AE36" s="32">
        <f t="shared" si="7"/>
        <v>-2.2522522522522523</v>
      </c>
      <c r="AF36" s="32">
        <f t="shared" ref="AF36:AO36" si="8">($B$29/(8*AF9*($D$34-$B$29*$B$35)))*10^6</f>
        <v>-2.1795989537925018</v>
      </c>
      <c r="AG36" s="32">
        <f t="shared" si="8"/>
        <v>-2.1114864864864864</v>
      </c>
      <c r="AH36" s="32">
        <f t="shared" si="8"/>
        <v>-2.0475020475020478</v>
      </c>
      <c r="AI36" s="32">
        <f t="shared" si="8"/>
        <v>-1.9872813990461049</v>
      </c>
      <c r="AJ36" s="32">
        <f t="shared" si="8"/>
        <v>-1.9305019305019306</v>
      </c>
      <c r="AK36" s="37">
        <f t="shared" si="8"/>
        <v>-1.8768768768768769</v>
      </c>
      <c r="AL36" s="32">
        <f t="shared" si="8"/>
        <v>-1.8261504747991233</v>
      </c>
      <c r="AM36" s="32">
        <f t="shared" si="8"/>
        <v>-1.7780938833570412</v>
      </c>
      <c r="AN36" s="32">
        <f t="shared" si="8"/>
        <v>-1.7325017325017324</v>
      </c>
      <c r="AO36" s="32">
        <f t="shared" si="8"/>
        <v>-1.6891891891891893</v>
      </c>
    </row>
    <row r="38" spans="1:41" x14ac:dyDescent="0.3">
      <c r="A38" t="s">
        <v>41</v>
      </c>
      <c r="B38" s="12">
        <f>(B19*96*10^-3)/(0.5*B29*B7*1.3)</f>
        <v>1.2679628064243447E-3</v>
      </c>
      <c r="C38" t="s">
        <v>42</v>
      </c>
      <c r="D38" s="11">
        <f>B38*10^3</f>
        <v>1.2679628064243447</v>
      </c>
      <c r="E38" t="s">
        <v>43</v>
      </c>
    </row>
    <row r="40" spans="1:41" x14ac:dyDescent="0.3">
      <c r="A40" t="s">
        <v>45</v>
      </c>
      <c r="B40" s="14">
        <v>1</v>
      </c>
      <c r="C40" t="s">
        <v>46</v>
      </c>
      <c r="D40" s="6">
        <f>B40*10^6</f>
        <v>1000000</v>
      </c>
      <c r="E40" t="s">
        <v>42</v>
      </c>
    </row>
    <row r="41" spans="1:41" x14ac:dyDescent="0.3">
      <c r="A41" t="s">
        <v>47</v>
      </c>
      <c r="B41" s="10">
        <f>(D40*((1/((B5/1.25)-1))+1))/(B6/1.25)</f>
        <v>1994.9692080839623</v>
      </c>
      <c r="C41" t="s">
        <v>42</v>
      </c>
    </row>
    <row r="42" spans="1:41" x14ac:dyDescent="0.3">
      <c r="A42" t="s">
        <v>48</v>
      </c>
      <c r="B42" s="10">
        <f>B41*((B6/1.25)-1)-D40</f>
        <v>3469.5116662330693</v>
      </c>
      <c r="C42" t="s">
        <v>42</v>
      </c>
    </row>
    <row r="43" spans="1:41" x14ac:dyDescent="0.3">
      <c r="A43" t="s">
        <v>49</v>
      </c>
      <c r="B43" s="6">
        <f>(B5/D40)/((1/(B41+B42))+(1/D40))</f>
        <v>1.2500000000000209</v>
      </c>
      <c r="C43" t="s">
        <v>10</v>
      </c>
      <c r="D43" t="s">
        <v>50</v>
      </c>
      <c r="E43" s="11">
        <f>(B6/D40)/((1/(B41+B42))+(1/D40))</f>
        <v>3.423913043478318</v>
      </c>
      <c r="F43" t="s">
        <v>10</v>
      </c>
    </row>
    <row r="44" spans="1:41" x14ac:dyDescent="0.3">
      <c r="A44" t="s">
        <v>44</v>
      </c>
      <c r="B44" s="31">
        <f>($D$14/(0.725*((B9/1000)/300)*(1.25/$B$43)))*51.1*10^3</f>
        <v>148013.79310345076</v>
      </c>
      <c r="C44" t="s">
        <v>51</v>
      </c>
      <c r="D44" s="31">
        <f>B44*10^-3</f>
        <v>148.01379310345078</v>
      </c>
      <c r="E44" t="s">
        <v>51</v>
      </c>
      <c r="F44" s="5"/>
      <c r="J44" t="s">
        <v>51</v>
      </c>
      <c r="K44" s="31">
        <f>($D$14/(0.725*((K9/1000)/300)*(1.25/$B$43)))*51.1</f>
        <v>148.01379310345075</v>
      </c>
      <c r="L44" s="31">
        <f t="shared" ref="L44:U44" si="9">($D$14/(0.725*((L9/1000)/300)*(1.25/$B$43)))*51.1</f>
        <v>134.55799373040978</v>
      </c>
      <c r="M44" s="31">
        <f t="shared" si="9"/>
        <v>123.34482758620896</v>
      </c>
      <c r="N44" s="31">
        <f t="shared" si="9"/>
        <v>113.85676392573133</v>
      </c>
      <c r="O44" s="31">
        <f t="shared" si="9"/>
        <v>105.72413793103624</v>
      </c>
      <c r="P44" s="31">
        <f t="shared" si="9"/>
        <v>98.675862068967163</v>
      </c>
      <c r="Q44" s="31">
        <f t="shared" si="9"/>
        <v>92.508620689656709</v>
      </c>
      <c r="R44" s="31">
        <f t="shared" si="9"/>
        <v>87.066937119676908</v>
      </c>
      <c r="S44" s="31">
        <f t="shared" si="9"/>
        <v>82.229885057472643</v>
      </c>
      <c r="T44" s="31">
        <f t="shared" si="9"/>
        <v>77.901996370237242</v>
      </c>
      <c r="U44" s="31">
        <f t="shared" si="9"/>
        <v>74.006896551725376</v>
      </c>
      <c r="V44" s="31">
        <f t="shared" ref="V44:AE44" si="10">($D$14/(0.725*((V9/1000)/300)*(1.25/$B$43)))*51.1</f>
        <v>70.482758620690831</v>
      </c>
      <c r="W44" s="31">
        <f t="shared" si="10"/>
        <v>67.278996865204888</v>
      </c>
      <c r="X44" s="31">
        <f t="shared" si="10"/>
        <v>64.353823088456835</v>
      </c>
      <c r="Y44" s="31">
        <f t="shared" si="10"/>
        <v>61.672413793104482</v>
      </c>
      <c r="Z44" s="31">
        <f t="shared" si="10"/>
        <v>59.205517241380306</v>
      </c>
      <c r="AA44" s="31">
        <f t="shared" si="10"/>
        <v>56.928381962865664</v>
      </c>
      <c r="AB44" s="31">
        <f t="shared" si="10"/>
        <v>54.819923371648429</v>
      </c>
      <c r="AC44" s="31">
        <f t="shared" si="10"/>
        <v>52.86206896551812</v>
      </c>
      <c r="AD44" s="31">
        <f t="shared" si="10"/>
        <v>51.039239001189912</v>
      </c>
      <c r="AE44" s="31">
        <f t="shared" si="10"/>
        <v>49.337931034483582</v>
      </c>
      <c r="AF44" s="31">
        <f t="shared" ref="AF44:AO44" si="11">($D$14/(0.725*((AF9/1000)/300)*(1.25/$B$43)))*51.1</f>
        <v>47.746384872080874</v>
      </c>
      <c r="AG44" s="31">
        <f t="shared" si="11"/>
        <v>46.254310344828355</v>
      </c>
      <c r="AH44" s="31">
        <f t="shared" si="11"/>
        <v>44.852664576803257</v>
      </c>
      <c r="AI44" s="31">
        <f t="shared" si="11"/>
        <v>43.533468559838454</v>
      </c>
      <c r="AJ44" s="31">
        <f t="shared" si="11"/>
        <v>42.289655172414498</v>
      </c>
      <c r="AK44" s="38">
        <f t="shared" si="11"/>
        <v>41.114942528736321</v>
      </c>
      <c r="AL44" s="31">
        <f t="shared" si="11"/>
        <v>40.003727865797501</v>
      </c>
      <c r="AM44" s="31">
        <f t="shared" si="11"/>
        <v>38.950998185118621</v>
      </c>
      <c r="AN44" s="31">
        <f t="shared" si="11"/>
        <v>37.952254641910443</v>
      </c>
      <c r="AO44" s="31">
        <f t="shared" si="11"/>
        <v>37.003448275862688</v>
      </c>
    </row>
    <row r="45" spans="1:41" x14ac:dyDescent="0.3">
      <c r="A45" s="45" t="s">
        <v>106</v>
      </c>
      <c r="B45" s="45"/>
      <c r="C45" s="45"/>
      <c r="D45" s="45"/>
      <c r="E45" s="45"/>
      <c r="F45" s="45"/>
      <c r="G45" s="45"/>
      <c r="H45" s="45"/>
      <c r="I45" s="45"/>
    </row>
    <row r="46" spans="1:41" x14ac:dyDescent="0.3">
      <c r="A46" t="s">
        <v>7</v>
      </c>
      <c r="B46" s="11">
        <f>(B3/B6)*B19</f>
        <v>0.20931449502878077</v>
      </c>
      <c r="G46" s="20"/>
      <c r="H46" s="20"/>
    </row>
    <row r="47" spans="1:41" x14ac:dyDescent="0.3">
      <c r="A47" t="s">
        <v>52</v>
      </c>
      <c r="B47" s="29">
        <f>(10*(1-$B$46)^2)/($B$21*(2*PI()*(B9/1000))^2)</f>
        <v>4.0605345564331669E-9</v>
      </c>
      <c r="C47" t="s">
        <v>53</v>
      </c>
      <c r="D47" s="32">
        <f>B47*10^9</f>
        <v>4.0605345564331667</v>
      </c>
      <c r="E47" t="s">
        <v>54</v>
      </c>
      <c r="G47" s="26"/>
      <c r="H47" s="20"/>
      <c r="J47" t="s">
        <v>54</v>
      </c>
      <c r="K47" s="32">
        <f>((10*(1-$B$46)^2)/($B$21*(2*PI()*(K9/1000))^2))*10^9</f>
        <v>4.0605345564331667</v>
      </c>
      <c r="L47" s="32">
        <f t="shared" ref="L47:U47" si="12">((10*(1-$B$46)^2)/($B$21*(2*PI()*(L9/1000))^2))*10^9</f>
        <v>3.3558136830026171</v>
      </c>
      <c r="M47" s="32">
        <f t="shared" si="12"/>
        <v>2.8198156641896999</v>
      </c>
      <c r="N47" s="32">
        <f t="shared" si="12"/>
        <v>2.4026831694870809</v>
      </c>
      <c r="O47" s="32">
        <f t="shared" si="12"/>
        <v>2.0717013043026364</v>
      </c>
      <c r="P47" s="32">
        <f t="shared" si="12"/>
        <v>1.8046820250814077</v>
      </c>
      <c r="Q47" s="32">
        <f t="shared" si="12"/>
        <v>1.5861463111067056</v>
      </c>
      <c r="R47" s="32">
        <f t="shared" si="12"/>
        <v>1.4050292582813726</v>
      </c>
      <c r="S47" s="32">
        <f t="shared" si="12"/>
        <v>1.2532514063065332</v>
      </c>
      <c r="T47" s="32">
        <f t="shared" si="12"/>
        <v>1.124801816186473</v>
      </c>
      <c r="U47" s="32">
        <f t="shared" si="12"/>
        <v>1.0151336391082917</v>
      </c>
      <c r="V47" s="32">
        <f t="shared" ref="V47:AE47" si="13">((10*(1-$B$46)^2)/($B$21*(2*PI()*(V9/1000))^2))*10^9</f>
        <v>0.92075613524561595</v>
      </c>
      <c r="W47" s="32">
        <f t="shared" si="13"/>
        <v>0.83895342075065427</v>
      </c>
      <c r="X47" s="32">
        <f t="shared" si="13"/>
        <v>0.76758687267167602</v>
      </c>
      <c r="Y47" s="32">
        <f t="shared" si="13"/>
        <v>0.70495391604742497</v>
      </c>
      <c r="Z47" s="32">
        <f t="shared" si="13"/>
        <v>0.64968552902930687</v>
      </c>
      <c r="AA47" s="32">
        <f t="shared" si="13"/>
        <v>0.60067079237177023</v>
      </c>
      <c r="AB47" s="32">
        <f t="shared" si="13"/>
        <v>0.55700062502512582</v>
      </c>
      <c r="AC47" s="32">
        <f t="shared" si="13"/>
        <v>0.51792532607565911</v>
      </c>
      <c r="AD47" s="32">
        <f t="shared" si="13"/>
        <v>0.48282218269122085</v>
      </c>
      <c r="AE47" s="32">
        <f t="shared" si="13"/>
        <v>0.45117050627035193</v>
      </c>
      <c r="AF47" s="32">
        <f t="shared" ref="AF47:AO47" si="14">((10*(1-$B$46)^2)/($B$21*(2*PI()*(AF9/1000))^2))*10^9</f>
        <v>0.42253221190771773</v>
      </c>
      <c r="AG47" s="32">
        <f t="shared" si="14"/>
        <v>0.39653657777667639</v>
      </c>
      <c r="AH47" s="32">
        <f t="shared" si="14"/>
        <v>0.37286818700029095</v>
      </c>
      <c r="AI47" s="32">
        <f t="shared" si="14"/>
        <v>0.35125731457034315</v>
      </c>
      <c r="AJ47" s="32">
        <f t="shared" si="14"/>
        <v>0.33147220868842187</v>
      </c>
      <c r="AK47" s="37">
        <f t="shared" si="14"/>
        <v>0.3133128515766333</v>
      </c>
      <c r="AL47" s="32">
        <f t="shared" si="14"/>
        <v>0.29660588432674712</v>
      </c>
      <c r="AM47" s="32">
        <f t="shared" si="14"/>
        <v>0.28120045404661825</v>
      </c>
      <c r="AN47" s="32">
        <f t="shared" si="14"/>
        <v>0.26696479660967565</v>
      </c>
      <c r="AO47" s="32">
        <f t="shared" si="14"/>
        <v>0.25378340977707292</v>
      </c>
    </row>
    <row r="48" spans="1:41" x14ac:dyDescent="0.3">
      <c r="A48" t="s">
        <v>55</v>
      </c>
      <c r="B48" s="29">
        <f>6*B47</f>
        <v>2.4363207338599E-8</v>
      </c>
      <c r="C48" t="s">
        <v>53</v>
      </c>
      <c r="D48" s="32">
        <f>B48*10^9</f>
        <v>24.363207338599</v>
      </c>
      <c r="E48" t="s">
        <v>54</v>
      </c>
      <c r="J48" t="s">
        <v>54</v>
      </c>
      <c r="K48" s="32">
        <f>6*K47</f>
        <v>24.363207338599</v>
      </c>
      <c r="L48" s="32">
        <f t="shared" ref="L48:U48" si="15">6*L47</f>
        <v>20.134882098015702</v>
      </c>
      <c r="M48" s="32">
        <f t="shared" si="15"/>
        <v>16.918893985138197</v>
      </c>
      <c r="N48" s="32">
        <f t="shared" si="15"/>
        <v>14.416099016922486</v>
      </c>
      <c r="O48" s="32">
        <f t="shared" si="15"/>
        <v>12.430207825815819</v>
      </c>
      <c r="P48" s="32">
        <f t="shared" si="15"/>
        <v>10.828092150488446</v>
      </c>
      <c r="Q48" s="32">
        <f t="shared" si="15"/>
        <v>9.5168778666402325</v>
      </c>
      <c r="R48" s="32">
        <f t="shared" si="15"/>
        <v>8.4301755496882365</v>
      </c>
      <c r="S48" s="32">
        <f t="shared" si="15"/>
        <v>7.5195084378391996</v>
      </c>
      <c r="T48" s="32">
        <f t="shared" si="15"/>
        <v>6.7488108971188385</v>
      </c>
      <c r="U48" s="32">
        <f t="shared" si="15"/>
        <v>6.0908018346497501</v>
      </c>
      <c r="V48" s="32">
        <f t="shared" ref="V48" si="16">6*V47</f>
        <v>5.5245368114736957</v>
      </c>
      <c r="W48" s="32">
        <f t="shared" ref="W48" si="17">6*W47</f>
        <v>5.0337205245039254</v>
      </c>
      <c r="X48" s="32">
        <f t="shared" ref="X48" si="18">6*X47</f>
        <v>4.6055212360300564</v>
      </c>
      <c r="Y48" s="32">
        <f t="shared" ref="Y48" si="19">6*Y47</f>
        <v>4.2297234962845494</v>
      </c>
      <c r="Z48" s="32">
        <f t="shared" ref="Z48" si="20">6*Z47</f>
        <v>3.8981131741758412</v>
      </c>
      <c r="AA48" s="32">
        <f t="shared" ref="AA48" si="21">6*AA47</f>
        <v>3.6040247542306214</v>
      </c>
      <c r="AB48" s="32">
        <f t="shared" ref="AB48" si="22">6*AB47</f>
        <v>3.3420037501507549</v>
      </c>
      <c r="AC48" s="32">
        <f t="shared" ref="AC48" si="23">6*AC47</f>
        <v>3.1075519564539547</v>
      </c>
      <c r="AD48" s="32">
        <f t="shared" ref="AD48" si="24">6*AD47</f>
        <v>2.896933096147325</v>
      </c>
      <c r="AE48" s="32">
        <f t="shared" ref="AE48" si="25">6*AE47</f>
        <v>2.7070230376221116</v>
      </c>
      <c r="AF48" s="32">
        <f t="shared" ref="AF48" si="26">6*AF47</f>
        <v>2.5351932714463064</v>
      </c>
      <c r="AG48" s="32">
        <f t="shared" ref="AG48" si="27">6*AG47</f>
        <v>2.3792194666600581</v>
      </c>
      <c r="AH48" s="32">
        <f t="shared" ref="AH48" si="28">6*AH47</f>
        <v>2.2372091220017456</v>
      </c>
      <c r="AI48" s="32">
        <f t="shared" ref="AI48" si="29">6*AI47</f>
        <v>2.1075438874220591</v>
      </c>
      <c r="AJ48" s="32">
        <f t="shared" ref="AJ48" si="30">6*AJ47</f>
        <v>1.9888332521305312</v>
      </c>
      <c r="AK48" s="37">
        <f t="shared" ref="AK48" si="31">6*AK47</f>
        <v>1.8798771094597999</v>
      </c>
      <c r="AL48" s="32">
        <f t="shared" ref="AL48" si="32">6*AL47</f>
        <v>1.7796353059604826</v>
      </c>
      <c r="AM48" s="32">
        <f t="shared" ref="AM48" si="33">6*AM47</f>
        <v>1.6872027242797096</v>
      </c>
      <c r="AN48" s="32">
        <f t="shared" ref="AN48" si="34">6*AN47</f>
        <v>1.6017887796580539</v>
      </c>
      <c r="AO48" s="32">
        <f t="shared" ref="AO48" si="35">6*AO47</f>
        <v>1.5227004586624375</v>
      </c>
    </row>
    <row r="49" spans="1:42" x14ac:dyDescent="0.3">
      <c r="A49" t="s">
        <v>5</v>
      </c>
      <c r="B49" s="11">
        <f>(B3/B5)*B19</f>
        <v>0.5733397037744864</v>
      </c>
    </row>
    <row r="50" spans="1:42" x14ac:dyDescent="0.3">
      <c r="A50" t="s">
        <v>56</v>
      </c>
      <c r="B50" s="31">
        <f>(1/(1-$B$49))*SQRT($B$21*10^-6/B47)</f>
        <v>2296.9866312323384</v>
      </c>
      <c r="C50" t="s">
        <v>42</v>
      </c>
      <c r="J50" t="s">
        <v>155</v>
      </c>
      <c r="K50" s="31">
        <f>(1/(1-$B$49))*SQRT($B$21*10^-6/(K47*10^-9))</f>
        <v>2296.9866312323384</v>
      </c>
      <c r="L50" s="31">
        <f t="shared" ref="L50:U50" si="36">(1/(1-$B$49))*SQRT($B$21*10^-6/(L47*10^-9))</f>
        <v>2526.6852943555723</v>
      </c>
      <c r="M50" s="31">
        <f t="shared" si="36"/>
        <v>2756.3839574788058</v>
      </c>
      <c r="N50" s="31">
        <f t="shared" si="36"/>
        <v>2986.0826206020397</v>
      </c>
      <c r="O50" s="31">
        <f t="shared" si="36"/>
        <v>3215.7812837252732</v>
      </c>
      <c r="P50" s="31">
        <f t="shared" si="36"/>
        <v>3445.4799468485071</v>
      </c>
      <c r="Q50" s="31">
        <f t="shared" si="36"/>
        <v>3675.178609971741</v>
      </c>
      <c r="R50" s="31">
        <f t="shared" si="36"/>
        <v>3904.877273094975</v>
      </c>
      <c r="S50" s="31">
        <f t="shared" si="36"/>
        <v>4134.575936218208</v>
      </c>
      <c r="T50" s="31">
        <f t="shared" si="36"/>
        <v>4364.2745993414419</v>
      </c>
      <c r="U50" s="31">
        <f t="shared" si="36"/>
        <v>4593.9732624646767</v>
      </c>
      <c r="V50" s="31">
        <f t="shared" ref="V50:AE50" si="37">(1/(1-$B$49))*SQRT($B$21*10^-6/(V47*10^-9))</f>
        <v>4823.6719255879107</v>
      </c>
      <c r="W50" s="31">
        <f t="shared" si="37"/>
        <v>5053.3705887111446</v>
      </c>
      <c r="X50" s="31">
        <f t="shared" si="37"/>
        <v>5283.0692518343785</v>
      </c>
      <c r="Y50" s="31">
        <f t="shared" si="37"/>
        <v>5512.7679149576115</v>
      </c>
      <c r="Z50" s="31">
        <f t="shared" si="37"/>
        <v>5742.4665780808436</v>
      </c>
      <c r="AA50" s="31">
        <f t="shared" si="37"/>
        <v>5972.1652412040794</v>
      </c>
      <c r="AB50" s="31">
        <f t="shared" si="37"/>
        <v>6201.8639043273133</v>
      </c>
      <c r="AC50" s="31">
        <f t="shared" si="37"/>
        <v>6431.5625674505463</v>
      </c>
      <c r="AD50" s="31">
        <f t="shared" si="37"/>
        <v>6661.2612305737803</v>
      </c>
      <c r="AE50" s="31">
        <f t="shared" si="37"/>
        <v>6890.9598936970142</v>
      </c>
      <c r="AF50" s="31">
        <f t="shared" ref="AF50:AO50" si="38">(1/(1-$B$49))*SQRT($B$21*10^-6/(AF47*10^-9))</f>
        <v>7120.6585568202472</v>
      </c>
      <c r="AG50" s="31">
        <f t="shared" si="38"/>
        <v>7350.3572199434821</v>
      </c>
      <c r="AH50" s="31">
        <f t="shared" si="38"/>
        <v>7580.0558830667142</v>
      </c>
      <c r="AI50" s="31">
        <f t="shared" si="38"/>
        <v>7809.7545461899499</v>
      </c>
      <c r="AJ50" s="31">
        <f t="shared" si="38"/>
        <v>8039.4532093131829</v>
      </c>
      <c r="AK50" s="38">
        <f t="shared" si="38"/>
        <v>8269.1518724364159</v>
      </c>
      <c r="AL50" s="31">
        <f t="shared" si="38"/>
        <v>8498.8505355596499</v>
      </c>
      <c r="AM50" s="31">
        <f t="shared" si="38"/>
        <v>8728.5491986828838</v>
      </c>
      <c r="AN50" s="31">
        <f t="shared" si="38"/>
        <v>8958.2478618061177</v>
      </c>
      <c r="AO50" s="31">
        <f t="shared" si="38"/>
        <v>9187.9465249293535</v>
      </c>
    </row>
    <row r="52" spans="1:42" x14ac:dyDescent="0.3">
      <c r="A52" t="s">
        <v>71</v>
      </c>
      <c r="B52" s="19">
        <f>(1.2/(B9/$B$10))*22.1*10^6</f>
        <v>530.40000000000009</v>
      </c>
      <c r="C52" t="s">
        <v>51</v>
      </c>
      <c r="J52" s="20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20"/>
    </row>
    <row r="54" spans="1:42" x14ac:dyDescent="0.3">
      <c r="A54" s="45" t="s">
        <v>105</v>
      </c>
      <c r="B54" s="45"/>
      <c r="C54" s="45"/>
      <c r="D54" s="45"/>
      <c r="E54" s="45"/>
      <c r="F54" s="45"/>
      <c r="G54" s="45"/>
      <c r="H54" s="45"/>
      <c r="I54" s="45"/>
    </row>
    <row r="55" spans="1:42" x14ac:dyDescent="0.3">
      <c r="A55" t="s">
        <v>81</v>
      </c>
      <c r="B55" s="6">
        <f>B6*(1/B19)*2</f>
        <v>229.32</v>
      </c>
      <c r="C55" t="s">
        <v>10</v>
      </c>
      <c r="D55" t="s">
        <v>82</v>
      </c>
    </row>
    <row r="56" spans="1:42" x14ac:dyDescent="0.3">
      <c r="A56" t="s">
        <v>73</v>
      </c>
      <c r="B56" s="14">
        <v>4.5</v>
      </c>
      <c r="C56" t="s">
        <v>23</v>
      </c>
      <c r="D56" t="s">
        <v>88</v>
      </c>
    </row>
    <row r="58" spans="1:42" x14ac:dyDescent="0.3">
      <c r="A58" t="s">
        <v>74</v>
      </c>
      <c r="B58" s="25">
        <f>D58*10^-3</f>
        <v>4.0999999999999995E-3</v>
      </c>
      <c r="C58" t="s">
        <v>42</v>
      </c>
      <c r="D58" s="14">
        <v>4.0999999999999996</v>
      </c>
      <c r="E58" t="s">
        <v>43</v>
      </c>
    </row>
    <row r="59" spans="1:42" x14ac:dyDescent="0.3">
      <c r="A59" t="s">
        <v>72</v>
      </c>
      <c r="B59" s="7">
        <f>B56*B58</f>
        <v>1.8449999999999998E-2</v>
      </c>
      <c r="C59" t="s">
        <v>10</v>
      </c>
      <c r="D59" s="6">
        <f>B59*10^3</f>
        <v>18.45</v>
      </c>
      <c r="E59" t="s">
        <v>75</v>
      </c>
      <c r="F59" t="s">
        <v>83</v>
      </c>
      <c r="G59" t="s">
        <v>85</v>
      </c>
    </row>
    <row r="60" spans="1:42" x14ac:dyDescent="0.3">
      <c r="A60" t="s">
        <v>87</v>
      </c>
      <c r="B60" s="6">
        <f>D59*1.2</f>
        <v>22.139999999999997</v>
      </c>
      <c r="C60" t="s">
        <v>75</v>
      </c>
    </row>
    <row r="61" spans="1:42" x14ac:dyDescent="0.3">
      <c r="G61" s="46" t="s">
        <v>143</v>
      </c>
      <c r="H61" s="47"/>
      <c r="I61" s="47"/>
    </row>
    <row r="62" spans="1:42" x14ac:dyDescent="0.3">
      <c r="A62" t="s">
        <v>77</v>
      </c>
      <c r="B62" s="14">
        <v>2000</v>
      </c>
      <c r="C62" t="s">
        <v>79</v>
      </c>
      <c r="G62" s="47"/>
      <c r="H62" s="47"/>
      <c r="I62" s="47"/>
    </row>
    <row r="63" spans="1:42" x14ac:dyDescent="0.3">
      <c r="A63" t="s">
        <v>78</v>
      </c>
      <c r="B63" s="14">
        <v>300</v>
      </c>
      <c r="C63" t="s">
        <v>10</v>
      </c>
      <c r="G63" s="47"/>
      <c r="H63" s="47"/>
      <c r="I63" s="47"/>
    </row>
    <row r="64" spans="1:42" x14ac:dyDescent="0.3">
      <c r="A64" t="s">
        <v>76</v>
      </c>
      <c r="B64" s="11">
        <f>B58*SQRT(2*B62*10^-3*((1.3*B63-B3)/(1.3*B63*B32*10^-6)))</f>
        <v>1.0255255063149642</v>
      </c>
      <c r="C64" t="s">
        <v>10</v>
      </c>
      <c r="D64">
        <f t="shared" ref="D64" si="39">B64*10^3</f>
        <v>1025.5255063149641</v>
      </c>
      <c r="E64" t="s">
        <v>75</v>
      </c>
      <c r="G64" s="47"/>
      <c r="H64" s="47"/>
      <c r="I64" s="47"/>
    </row>
    <row r="65" spans="1:41" x14ac:dyDescent="0.3">
      <c r="A65" t="s">
        <v>89</v>
      </c>
      <c r="B65" s="11">
        <f>B64/B58</f>
        <v>250.12817227194253</v>
      </c>
      <c r="C65" t="s">
        <v>23</v>
      </c>
      <c r="D65">
        <v>60</v>
      </c>
      <c r="E65" t="s">
        <v>23</v>
      </c>
      <c r="F65" t="s">
        <v>142</v>
      </c>
    </row>
    <row r="67" spans="1:41" x14ac:dyDescent="0.3">
      <c r="A67" t="s">
        <v>80</v>
      </c>
      <c r="B67" s="14">
        <v>1000</v>
      </c>
      <c r="C67" t="s">
        <v>42</v>
      </c>
      <c r="D67" t="s">
        <v>86</v>
      </c>
    </row>
    <row r="68" spans="1:41" x14ac:dyDescent="0.3">
      <c r="A68" t="s">
        <v>84</v>
      </c>
      <c r="B68" s="12">
        <f>((B67*40*10^-6)+66*10^-3)/D65</f>
        <v>1.7666666666666668E-3</v>
      </c>
      <c r="C68" t="s">
        <v>42</v>
      </c>
      <c r="D68" s="11">
        <f>B68*10^3</f>
        <v>1.7666666666666668</v>
      </c>
      <c r="E68" t="s">
        <v>43</v>
      </c>
      <c r="F68" s="14">
        <v>1.8</v>
      </c>
      <c r="G68" t="s">
        <v>90</v>
      </c>
      <c r="H68" t="s">
        <v>91</v>
      </c>
    </row>
    <row r="69" spans="1:41" x14ac:dyDescent="0.3">
      <c r="D69" s="27"/>
      <c r="E69" s="20"/>
      <c r="F69" s="20"/>
    </row>
    <row r="70" spans="1:41" x14ac:dyDescent="0.3">
      <c r="A70" t="s">
        <v>138</v>
      </c>
      <c r="B70" s="23">
        <f>SQRT((1-B46)*(B7^2+(B29^2/12)))</f>
        <v>35.804535542209408</v>
      </c>
      <c r="C70" t="s">
        <v>23</v>
      </c>
      <c r="D70" s="27"/>
      <c r="E70" s="20"/>
      <c r="F70" s="20"/>
    </row>
    <row r="71" spans="1:41" x14ac:dyDescent="0.3">
      <c r="A71" t="s">
        <v>122</v>
      </c>
      <c r="B71" s="28">
        <f>D71*10^-9</f>
        <v>3.4500000000000003E-7</v>
      </c>
      <c r="C71" t="s">
        <v>125</v>
      </c>
      <c r="D71" s="24">
        <v>345</v>
      </c>
      <c r="E71" s="20" t="s">
        <v>124</v>
      </c>
      <c r="F71" s="20"/>
    </row>
    <row r="72" spans="1:41" x14ac:dyDescent="0.3">
      <c r="A72" t="s">
        <v>140</v>
      </c>
      <c r="B72" s="33">
        <f>($B$70^2*$B$58)+($B$11*B9*$B$71)</f>
        <v>5.6010555381126794</v>
      </c>
      <c r="C72" s="20" t="s">
        <v>20</v>
      </c>
      <c r="D72" s="27"/>
      <c r="E72" s="20"/>
      <c r="F72" s="20"/>
      <c r="J72" t="s">
        <v>20</v>
      </c>
      <c r="K72" s="33">
        <f>($B$70^2*$B$58)+($B$11*K9*$B$71)</f>
        <v>5.6010555381126794</v>
      </c>
      <c r="L72" s="33">
        <f t="shared" ref="L72:U72" si="40">($B$70^2*$B$58)+($B$11*L9*$B$71)</f>
        <v>5.6355555381126798</v>
      </c>
      <c r="M72" s="33">
        <f t="shared" si="40"/>
        <v>5.6700555381126794</v>
      </c>
      <c r="N72" s="33">
        <f t="shared" si="40"/>
        <v>5.7045555381126798</v>
      </c>
      <c r="O72" s="33">
        <f t="shared" si="40"/>
        <v>5.7390555381126793</v>
      </c>
      <c r="P72" s="33">
        <f t="shared" si="40"/>
        <v>5.7735555381126797</v>
      </c>
      <c r="Q72" s="33">
        <f t="shared" si="40"/>
        <v>5.8080555381126793</v>
      </c>
      <c r="R72" s="33">
        <f t="shared" si="40"/>
        <v>5.8425555381126797</v>
      </c>
      <c r="S72" s="33">
        <f t="shared" si="40"/>
        <v>5.8770555381126801</v>
      </c>
      <c r="T72" s="33">
        <f t="shared" si="40"/>
        <v>5.9115555381126796</v>
      </c>
      <c r="U72" s="33">
        <f t="shared" si="40"/>
        <v>5.9460555381126801</v>
      </c>
      <c r="V72" s="33">
        <f t="shared" ref="V72:AE72" si="41">($B$70^2*$B$58)+($B$11*V9*$B$71)</f>
        <v>5.9805555381126796</v>
      </c>
      <c r="W72" s="33">
        <f t="shared" si="41"/>
        <v>6.01505553811268</v>
      </c>
      <c r="X72" s="33">
        <f t="shared" si="41"/>
        <v>6.0495555381126795</v>
      </c>
      <c r="Y72" s="33">
        <f t="shared" si="41"/>
        <v>6.08405553811268</v>
      </c>
      <c r="Z72" s="33">
        <f t="shared" si="41"/>
        <v>6.1185555381126795</v>
      </c>
      <c r="AA72" s="33">
        <f t="shared" si="41"/>
        <v>6.1530555381126799</v>
      </c>
      <c r="AB72" s="33">
        <f t="shared" si="41"/>
        <v>6.1875555381126794</v>
      </c>
      <c r="AC72" s="33">
        <f t="shared" si="41"/>
        <v>6.2220555381126799</v>
      </c>
      <c r="AD72" s="33">
        <f t="shared" si="41"/>
        <v>6.2565555381126803</v>
      </c>
      <c r="AE72" s="33">
        <f t="shared" si="41"/>
        <v>6.2910555381126798</v>
      </c>
      <c r="AF72" s="33">
        <f t="shared" ref="AF72:AO72" si="42">($B$70^2*$B$58)+($B$11*AF9*$B$71)</f>
        <v>6.3255555381126793</v>
      </c>
      <c r="AG72" s="33">
        <f t="shared" si="42"/>
        <v>6.3600555381126798</v>
      </c>
      <c r="AH72" s="33">
        <f t="shared" si="42"/>
        <v>6.3945555381126802</v>
      </c>
      <c r="AI72" s="33">
        <f t="shared" si="42"/>
        <v>6.4290555381126797</v>
      </c>
      <c r="AJ72" s="33">
        <f t="shared" si="42"/>
        <v>6.4635555381126792</v>
      </c>
      <c r="AK72" s="39">
        <f t="shared" si="42"/>
        <v>6.4980555381126797</v>
      </c>
      <c r="AL72" s="33">
        <f t="shared" si="42"/>
        <v>6.5325555381126801</v>
      </c>
      <c r="AM72" s="33">
        <f t="shared" si="42"/>
        <v>6.5670555381126796</v>
      </c>
      <c r="AN72" s="33">
        <f t="shared" si="42"/>
        <v>6.60155553811268</v>
      </c>
      <c r="AO72" s="33">
        <f t="shared" si="42"/>
        <v>6.6360555381126796</v>
      </c>
    </row>
    <row r="74" spans="1:41" x14ac:dyDescent="0.3">
      <c r="A74" s="45" t="s">
        <v>112</v>
      </c>
      <c r="B74" s="45"/>
      <c r="C74" s="45"/>
      <c r="D74" s="45"/>
      <c r="E74" s="45"/>
      <c r="F74" s="45"/>
      <c r="G74" s="45"/>
      <c r="H74" s="45"/>
      <c r="I74" s="45"/>
    </row>
    <row r="75" spans="1:41" x14ac:dyDescent="0.3">
      <c r="A75" t="s">
        <v>114</v>
      </c>
      <c r="B75" s="30">
        <f>0.5*$B$19*($B$3/($B$21*10^-6))*(1/B9)*2</f>
        <v>0.33812341504649202</v>
      </c>
      <c r="C75" t="s">
        <v>23</v>
      </c>
      <c r="F75" s="47" t="s">
        <v>133</v>
      </c>
      <c r="G75" s="47"/>
      <c r="J75" t="s">
        <v>23</v>
      </c>
      <c r="K75" s="30">
        <f>0.5*$B$19*($B$3/($B$21*10^-6))*(1/K9)*2</f>
        <v>0.33812341504649202</v>
      </c>
      <c r="L75" s="30">
        <f t="shared" ref="L75:U75" si="43">0.5*$B$19*($B$3/($B$21*10^-6))*(1/L9)*2</f>
        <v>0.30738492276953822</v>
      </c>
      <c r="M75" s="30">
        <f t="shared" si="43"/>
        <v>0.28176951253874333</v>
      </c>
      <c r="N75" s="30">
        <f t="shared" si="43"/>
        <v>0.26009493465114769</v>
      </c>
      <c r="O75" s="30">
        <f t="shared" si="43"/>
        <v>0.24151672503320856</v>
      </c>
      <c r="P75" s="30">
        <f t="shared" si="43"/>
        <v>0.22541561003099467</v>
      </c>
      <c r="Q75" s="30">
        <f t="shared" si="43"/>
        <v>0.21132713440405751</v>
      </c>
      <c r="R75" s="30">
        <f t="shared" si="43"/>
        <v>0.19889612649793648</v>
      </c>
      <c r="S75" s="30">
        <f t="shared" si="43"/>
        <v>0.18784634169249556</v>
      </c>
      <c r="T75" s="30">
        <f t="shared" si="43"/>
        <v>0.17795969212973264</v>
      </c>
      <c r="U75" s="30">
        <f t="shared" si="43"/>
        <v>0.16906170752324601</v>
      </c>
      <c r="V75" s="30">
        <f t="shared" ref="V75:AE75" si="44">0.5*$B$19*($B$3/($B$21*10^-6))*(1/V9)*2</f>
        <v>0.16101115002213903</v>
      </c>
      <c r="W75" s="30">
        <f t="shared" si="44"/>
        <v>0.15369246138476911</v>
      </c>
      <c r="X75" s="30">
        <f t="shared" si="44"/>
        <v>0.1470101804549965</v>
      </c>
      <c r="Y75" s="30">
        <f t="shared" si="44"/>
        <v>0.14088475626937166</v>
      </c>
      <c r="Z75" s="30">
        <f t="shared" si="44"/>
        <v>0.1352493660185968</v>
      </c>
      <c r="AA75" s="30">
        <f t="shared" si="44"/>
        <v>0.13004746732557385</v>
      </c>
      <c r="AB75" s="30">
        <f t="shared" si="44"/>
        <v>0.12523089446166372</v>
      </c>
      <c r="AC75" s="30">
        <f t="shared" si="44"/>
        <v>0.12075836251660428</v>
      </c>
      <c r="AD75" s="30">
        <f t="shared" si="44"/>
        <v>0.11659428105051448</v>
      </c>
      <c r="AE75" s="30">
        <f t="shared" si="44"/>
        <v>0.11270780501549733</v>
      </c>
      <c r="AF75" s="30">
        <f t="shared" ref="AF75:AO75" si="45">0.5*$B$19*($B$3/($B$21*10^-6))*(1/AF9)*2</f>
        <v>0.10907206936983613</v>
      </c>
      <c r="AG75" s="30">
        <f t="shared" si="45"/>
        <v>0.10566356720202875</v>
      </c>
      <c r="AH75" s="30">
        <f t="shared" si="45"/>
        <v>0.1024616409231794</v>
      </c>
      <c r="AI75" s="30">
        <f t="shared" si="45"/>
        <v>9.9448063248968238E-2</v>
      </c>
      <c r="AJ75" s="30">
        <f t="shared" si="45"/>
        <v>9.6606690013283439E-2</v>
      </c>
      <c r="AK75" s="40">
        <f t="shared" si="45"/>
        <v>9.392317084624778E-2</v>
      </c>
      <c r="AL75" s="30">
        <f t="shared" si="45"/>
        <v>9.1384706769322158E-2</v>
      </c>
      <c r="AM75" s="30">
        <f t="shared" si="45"/>
        <v>8.8979846064866322E-2</v>
      </c>
      <c r="AN75" s="30">
        <f t="shared" si="45"/>
        <v>8.6698311550382559E-2</v>
      </c>
      <c r="AO75" s="30">
        <f t="shared" si="45"/>
        <v>8.4530853761623004E-2</v>
      </c>
    </row>
    <row r="76" spans="1:41" x14ac:dyDescent="0.3">
      <c r="A76" t="s">
        <v>116</v>
      </c>
      <c r="B76" s="23">
        <f>B79</f>
        <v>956.13236267372599</v>
      </c>
      <c r="D76" t="s">
        <v>117</v>
      </c>
      <c r="F76" s="47"/>
      <c r="G76" s="47"/>
    </row>
    <row r="77" spans="1:41" x14ac:dyDescent="0.3">
      <c r="A77" t="s">
        <v>115</v>
      </c>
      <c r="B77" s="23">
        <f>(1/B19)*(B7+(B29/2))</f>
        <v>8.7360000000000007</v>
      </c>
      <c r="C77" t="s">
        <v>23</v>
      </c>
      <c r="F77" s="47"/>
      <c r="G77" s="47"/>
    </row>
    <row r="78" spans="1:41" x14ac:dyDescent="0.3">
      <c r="A78" s="45" t="s">
        <v>113</v>
      </c>
      <c r="B78" s="45"/>
      <c r="C78" s="45"/>
      <c r="D78" s="45"/>
      <c r="E78" s="45"/>
      <c r="F78" s="45"/>
      <c r="G78" s="45"/>
      <c r="H78" s="45"/>
      <c r="I78" s="45"/>
    </row>
    <row r="79" spans="1:41" x14ac:dyDescent="0.3">
      <c r="A79" t="s">
        <v>118</v>
      </c>
      <c r="B79" s="4">
        <f>((B6^2)/(B6-(B3*B19)))*1.2</f>
        <v>956.13236267372599</v>
      </c>
      <c r="C79" t="s">
        <v>10</v>
      </c>
    </row>
    <row r="80" spans="1:41" x14ac:dyDescent="0.3">
      <c r="A80" t="s">
        <v>119</v>
      </c>
      <c r="B80" s="4">
        <f>SQRT(B85/B81)</f>
        <v>5.5123576586177476</v>
      </c>
      <c r="C80" t="s">
        <v>23</v>
      </c>
    </row>
    <row r="81" spans="1:41" x14ac:dyDescent="0.3">
      <c r="A81" t="s">
        <v>74</v>
      </c>
      <c r="B81">
        <v>0.2</v>
      </c>
      <c r="C81" t="s">
        <v>42</v>
      </c>
      <c r="F81" s="47" t="s">
        <v>132</v>
      </c>
      <c r="G81" s="47"/>
    </row>
    <row r="82" spans="1:41" x14ac:dyDescent="0.3">
      <c r="A82" t="s">
        <v>122</v>
      </c>
      <c r="B82" s="1">
        <f>D82*10^-9</f>
        <v>3.0000000000000004E-8</v>
      </c>
      <c r="C82" t="s">
        <v>125</v>
      </c>
      <c r="D82" s="14">
        <v>30</v>
      </c>
      <c r="E82" t="s">
        <v>124</v>
      </c>
      <c r="F82" s="47"/>
      <c r="G82" s="47"/>
    </row>
    <row r="83" spans="1:41" x14ac:dyDescent="0.3">
      <c r="A83" t="s">
        <v>128</v>
      </c>
      <c r="B83" s="1">
        <f>D83*10^-9</f>
        <v>6.0000000000000008E-9</v>
      </c>
      <c r="C83" t="s">
        <v>125</v>
      </c>
      <c r="D83">
        <v>6</v>
      </c>
      <c r="E83" t="s">
        <v>124</v>
      </c>
      <c r="F83" s="47"/>
      <c r="G83" s="47"/>
    </row>
    <row r="85" spans="1:41" x14ac:dyDescent="0.3">
      <c r="A85" t="s">
        <v>120</v>
      </c>
      <c r="B85" s="4">
        <f>B19*(B3/B5)*((1/B19)*B7)^2*B81</f>
        <v>6.0772173913043472</v>
      </c>
      <c r="C85" t="s">
        <v>20</v>
      </c>
    </row>
    <row r="86" spans="1:41" x14ac:dyDescent="0.3">
      <c r="A86" t="s">
        <v>121</v>
      </c>
      <c r="B86" s="29">
        <f>$B$82*$B$11*B9</f>
        <v>3.0000000000000002E-2</v>
      </c>
      <c r="C86" t="s">
        <v>20</v>
      </c>
      <c r="K86" s="34">
        <f>$B$82*$B$11*K9</f>
        <v>3.0000000000000002E-2</v>
      </c>
      <c r="L86" s="34">
        <f t="shared" ref="L86:U86" si="46">$B$82*$B$11*L9</f>
        <v>3.3000000000000002E-2</v>
      </c>
      <c r="M86" s="34">
        <f t="shared" si="46"/>
        <v>3.6000000000000004E-2</v>
      </c>
      <c r="N86" s="34">
        <f t="shared" si="46"/>
        <v>3.9000000000000007E-2</v>
      </c>
      <c r="O86" s="34">
        <f t="shared" si="46"/>
        <v>4.2000000000000003E-2</v>
      </c>
      <c r="P86" s="34">
        <f t="shared" si="46"/>
        <v>4.5000000000000005E-2</v>
      </c>
      <c r="Q86" s="34">
        <f t="shared" si="46"/>
        <v>4.8000000000000008E-2</v>
      </c>
      <c r="R86" s="34">
        <f t="shared" si="46"/>
        <v>5.1000000000000004E-2</v>
      </c>
      <c r="S86" s="34">
        <f t="shared" si="46"/>
        <v>5.4000000000000006E-2</v>
      </c>
      <c r="T86" s="34">
        <f t="shared" si="46"/>
        <v>5.7000000000000009E-2</v>
      </c>
      <c r="U86" s="34">
        <f t="shared" si="46"/>
        <v>6.0000000000000005E-2</v>
      </c>
      <c r="V86" s="34">
        <f t="shared" ref="V86:AE86" si="47">$B$82*$B$11*V9</f>
        <v>6.3000000000000014E-2</v>
      </c>
      <c r="W86" s="34">
        <f t="shared" si="47"/>
        <v>6.6000000000000003E-2</v>
      </c>
      <c r="X86" s="34">
        <f t="shared" si="47"/>
        <v>6.9000000000000006E-2</v>
      </c>
      <c r="Y86" s="34">
        <f t="shared" si="47"/>
        <v>7.2000000000000008E-2</v>
      </c>
      <c r="Z86" s="34">
        <f t="shared" si="47"/>
        <v>7.5000000000000011E-2</v>
      </c>
      <c r="AA86" s="34">
        <f t="shared" si="47"/>
        <v>7.8000000000000014E-2</v>
      </c>
      <c r="AB86" s="34">
        <f t="shared" si="47"/>
        <v>8.1000000000000016E-2</v>
      </c>
      <c r="AC86" s="34">
        <f t="shared" si="47"/>
        <v>8.4000000000000005E-2</v>
      </c>
      <c r="AD86" s="34">
        <f t="shared" si="47"/>
        <v>8.7000000000000008E-2</v>
      </c>
      <c r="AE86" s="34">
        <f t="shared" si="47"/>
        <v>9.0000000000000011E-2</v>
      </c>
      <c r="AF86" s="34">
        <f t="shared" ref="AF86:AO86" si="48">$B$82*$B$11*AF9</f>
        <v>9.3000000000000013E-2</v>
      </c>
      <c r="AG86" s="34">
        <f t="shared" si="48"/>
        <v>9.6000000000000016E-2</v>
      </c>
      <c r="AH86" s="34">
        <f t="shared" si="48"/>
        <v>9.9000000000000019E-2</v>
      </c>
      <c r="AI86" s="34">
        <f t="shared" si="48"/>
        <v>0.10200000000000001</v>
      </c>
      <c r="AJ86" s="34">
        <f t="shared" si="48"/>
        <v>0.10500000000000001</v>
      </c>
      <c r="AK86" s="41">
        <f t="shared" si="48"/>
        <v>0.10800000000000001</v>
      </c>
      <c r="AL86" s="34">
        <f t="shared" si="48"/>
        <v>0.11100000000000002</v>
      </c>
      <c r="AM86" s="34">
        <f t="shared" si="48"/>
        <v>0.11400000000000002</v>
      </c>
      <c r="AN86" s="34">
        <f t="shared" si="48"/>
        <v>0.11700000000000002</v>
      </c>
      <c r="AO86" s="34">
        <f t="shared" si="48"/>
        <v>0.12000000000000001</v>
      </c>
    </row>
    <row r="87" spans="1:41" x14ac:dyDescent="0.3">
      <c r="A87" t="s">
        <v>126</v>
      </c>
      <c r="B87" s="30">
        <f>0.5*$B$7*$D$19*($B$6/(1-$B$49))*($B$83/2)*B9</f>
        <v>1.6124303247480403</v>
      </c>
      <c r="C87" t="s">
        <v>20</v>
      </c>
      <c r="K87" s="30">
        <f>0.5*$B$7*$D$19*($B$6/(1-$B$49))*($B$83/2)*K9</f>
        <v>1.6124303247480403</v>
      </c>
      <c r="L87" s="30">
        <f t="shared" ref="L87:U87" si="49">0.5*$B$7*$D$19*($B$6/(1-$B$49))*($B$83/2)*L9</f>
        <v>1.7736733572228445</v>
      </c>
      <c r="M87" s="30">
        <f t="shared" si="49"/>
        <v>1.9349163896976485</v>
      </c>
      <c r="N87" s="30">
        <f t="shared" si="49"/>
        <v>2.0961594221724527</v>
      </c>
      <c r="O87" s="30">
        <f t="shared" si="49"/>
        <v>2.2574024546472566</v>
      </c>
      <c r="P87" s="30">
        <f t="shared" si="49"/>
        <v>2.4186454871220606</v>
      </c>
      <c r="Q87" s="30">
        <f t="shared" si="49"/>
        <v>2.5798885195968646</v>
      </c>
      <c r="R87" s="30">
        <f t="shared" si="49"/>
        <v>2.7411315520716686</v>
      </c>
      <c r="S87" s="30">
        <f t="shared" si="49"/>
        <v>2.9023745845464726</v>
      </c>
      <c r="T87" s="30">
        <f t="shared" si="49"/>
        <v>3.0636176170212766</v>
      </c>
      <c r="U87" s="30">
        <f t="shared" si="49"/>
        <v>3.2248606494960805</v>
      </c>
      <c r="V87" s="30">
        <f t="shared" ref="V87:AE87" si="50">0.5*$B$7*$D$19*($B$6/(1-$B$49))*($B$83/2)*V9</f>
        <v>3.386103681970885</v>
      </c>
      <c r="W87" s="30">
        <f t="shared" si="50"/>
        <v>3.5473467144456889</v>
      </c>
      <c r="X87" s="30">
        <f t="shared" si="50"/>
        <v>3.7085897469204929</v>
      </c>
      <c r="Y87" s="30">
        <f t="shared" si="50"/>
        <v>3.8698327793952969</v>
      </c>
      <c r="Z87" s="30">
        <f t="shared" si="50"/>
        <v>4.0310758118701013</v>
      </c>
      <c r="AA87" s="30">
        <f t="shared" si="50"/>
        <v>4.1923188443449053</v>
      </c>
      <c r="AB87" s="30">
        <f t="shared" si="50"/>
        <v>4.3535618768197093</v>
      </c>
      <c r="AC87" s="30">
        <f t="shared" si="50"/>
        <v>4.5148049092945133</v>
      </c>
      <c r="AD87" s="30">
        <f t="shared" si="50"/>
        <v>4.6760479417693173</v>
      </c>
      <c r="AE87" s="30">
        <f t="shared" si="50"/>
        <v>4.8372909742441212</v>
      </c>
      <c r="AF87" s="30">
        <f t="shared" ref="AF87:AO87" si="51">0.5*$B$7*$D$19*($B$6/(1-$B$49))*($B$83/2)*AF9</f>
        <v>4.9985340067189252</v>
      </c>
      <c r="AG87" s="30">
        <f t="shared" si="51"/>
        <v>5.1597770391937292</v>
      </c>
      <c r="AH87" s="30">
        <f t="shared" si="51"/>
        <v>5.3210200716685332</v>
      </c>
      <c r="AI87" s="30">
        <f t="shared" si="51"/>
        <v>5.4822631041433372</v>
      </c>
      <c r="AJ87" s="30">
        <f t="shared" si="51"/>
        <v>5.6435061366181412</v>
      </c>
      <c r="AK87" s="40">
        <f t="shared" si="51"/>
        <v>5.8047491690929451</v>
      </c>
      <c r="AL87" s="30">
        <f t="shared" si="51"/>
        <v>5.9659922015677491</v>
      </c>
      <c r="AM87" s="30">
        <f t="shared" si="51"/>
        <v>6.1272352340425531</v>
      </c>
      <c r="AN87" s="30">
        <f t="shared" si="51"/>
        <v>6.2884782665173571</v>
      </c>
      <c r="AO87" s="30">
        <f t="shared" si="51"/>
        <v>6.4497212989921611</v>
      </c>
    </row>
    <row r="88" spans="1:41" x14ac:dyDescent="0.3">
      <c r="A88" t="s">
        <v>127</v>
      </c>
      <c r="B88" s="30">
        <f>0.5*$B$7*$D$19*$B$6*($B$83/2)*B9</f>
        <v>0.68796000000000002</v>
      </c>
      <c r="C88" t="s">
        <v>20</v>
      </c>
      <c r="K88" s="30">
        <f>0.5*$B$7*$D$19*$B$6*($B$83/2)*K9</f>
        <v>0.68796000000000002</v>
      </c>
      <c r="L88" s="30">
        <f t="shared" ref="L88:U88" si="52">0.5*$B$7*$D$19*$B$6*($B$83/2)*L9</f>
        <v>0.75675599999999998</v>
      </c>
      <c r="M88" s="30">
        <f t="shared" si="52"/>
        <v>0.82555200000000006</v>
      </c>
      <c r="N88" s="30">
        <f t="shared" si="52"/>
        <v>0.89434800000000003</v>
      </c>
      <c r="O88" s="30">
        <f t="shared" si="52"/>
        <v>0.963144</v>
      </c>
      <c r="P88" s="30">
        <f t="shared" si="52"/>
        <v>1.0319400000000001</v>
      </c>
      <c r="Q88" s="30">
        <f t="shared" si="52"/>
        <v>1.1007359999999999</v>
      </c>
      <c r="R88" s="30">
        <f t="shared" si="52"/>
        <v>1.169532</v>
      </c>
      <c r="S88" s="30">
        <f t="shared" si="52"/>
        <v>1.2383280000000001</v>
      </c>
      <c r="T88" s="30">
        <f t="shared" si="52"/>
        <v>1.307124</v>
      </c>
      <c r="U88" s="30">
        <f t="shared" si="52"/>
        <v>1.37592</v>
      </c>
      <c r="V88" s="30">
        <f t="shared" ref="V88:AE88" si="53">0.5*$B$7*$D$19*$B$6*($B$83/2)*V9</f>
        <v>1.4447160000000001</v>
      </c>
      <c r="W88" s="30">
        <f t="shared" si="53"/>
        <v>1.513512</v>
      </c>
      <c r="X88" s="30">
        <f t="shared" si="53"/>
        <v>1.582308</v>
      </c>
      <c r="Y88" s="30">
        <f t="shared" si="53"/>
        <v>1.6511040000000001</v>
      </c>
      <c r="Z88" s="30">
        <f t="shared" si="53"/>
        <v>1.7199</v>
      </c>
      <c r="AA88" s="30">
        <f t="shared" si="53"/>
        <v>1.7886960000000001</v>
      </c>
      <c r="AB88" s="30">
        <f t="shared" si="53"/>
        <v>1.8574920000000001</v>
      </c>
      <c r="AC88" s="30">
        <f t="shared" si="53"/>
        <v>1.926288</v>
      </c>
      <c r="AD88" s="30">
        <f t="shared" si="53"/>
        <v>1.9950840000000001</v>
      </c>
      <c r="AE88" s="30">
        <f t="shared" si="53"/>
        <v>2.0638800000000002</v>
      </c>
      <c r="AF88" s="30">
        <f t="shared" ref="AF88:AO88" si="54">0.5*$B$7*$D$19*$B$6*($B$83/2)*AF9</f>
        <v>2.132676</v>
      </c>
      <c r="AG88" s="30">
        <f t="shared" si="54"/>
        <v>2.2014719999999999</v>
      </c>
      <c r="AH88" s="30">
        <f t="shared" si="54"/>
        <v>2.2702680000000002</v>
      </c>
      <c r="AI88" s="30">
        <f t="shared" si="54"/>
        <v>2.339064</v>
      </c>
      <c r="AJ88" s="30">
        <f t="shared" si="54"/>
        <v>2.4078599999999999</v>
      </c>
      <c r="AK88" s="40">
        <f t="shared" si="54"/>
        <v>2.4766560000000002</v>
      </c>
      <c r="AL88" s="30">
        <f t="shared" si="54"/>
        <v>2.545452</v>
      </c>
      <c r="AM88" s="30">
        <f t="shared" si="54"/>
        <v>2.6142479999999999</v>
      </c>
      <c r="AN88" s="30">
        <f t="shared" si="54"/>
        <v>2.6830440000000002</v>
      </c>
      <c r="AO88" s="30">
        <f t="shared" si="54"/>
        <v>2.7518400000000001</v>
      </c>
    </row>
    <row r="89" spans="1:41" x14ac:dyDescent="0.3">
      <c r="A89" t="s">
        <v>129</v>
      </c>
      <c r="B89" s="30">
        <f>$B$85+B86+B87+B88</f>
        <v>8.4076077160523877</v>
      </c>
      <c r="C89" t="s">
        <v>20</v>
      </c>
      <c r="K89" s="30">
        <f>$B$85+K86+K87+K88</f>
        <v>8.4076077160523877</v>
      </c>
      <c r="L89" s="30">
        <f t="shared" ref="L89:U89" si="55">$B$85+L86+L87+L88</f>
        <v>8.6406467485271925</v>
      </c>
      <c r="M89" s="30">
        <f t="shared" si="55"/>
        <v>8.8736857810019956</v>
      </c>
      <c r="N89" s="30">
        <f t="shared" si="55"/>
        <v>9.1067248134768004</v>
      </c>
      <c r="O89" s="30">
        <f t="shared" si="55"/>
        <v>9.3397638459516035</v>
      </c>
      <c r="P89" s="30">
        <f t="shared" si="55"/>
        <v>9.5728028784264083</v>
      </c>
      <c r="Q89" s="30">
        <f t="shared" si="55"/>
        <v>9.8058419109012114</v>
      </c>
      <c r="R89" s="30">
        <f t="shared" si="55"/>
        <v>10.038880943376016</v>
      </c>
      <c r="S89" s="30">
        <f t="shared" si="55"/>
        <v>10.271919975850821</v>
      </c>
      <c r="T89" s="30">
        <f t="shared" si="55"/>
        <v>10.504959008325624</v>
      </c>
      <c r="U89" s="30">
        <f t="shared" si="55"/>
        <v>10.737998040800427</v>
      </c>
      <c r="V89" s="30">
        <f t="shared" ref="V89" si="56">$B$85+V86+V87+V88</f>
        <v>10.971037073275232</v>
      </c>
      <c r="W89" s="30">
        <f t="shared" ref="W89" si="57">$B$85+W86+W87+W88</f>
        <v>11.204076105750037</v>
      </c>
      <c r="X89" s="30">
        <f t="shared" ref="X89" si="58">$B$85+X86+X87+X88</f>
        <v>11.43711513822484</v>
      </c>
      <c r="Y89" s="30">
        <f t="shared" ref="Y89" si="59">$B$85+Y86+Y87+Y88</f>
        <v>11.670154170699645</v>
      </c>
      <c r="Z89" s="30">
        <f t="shared" ref="Z89" si="60">$B$85+Z86+Z87+Z88</f>
        <v>11.90319320317445</v>
      </c>
      <c r="AA89" s="30">
        <f t="shared" ref="AA89" si="61">$B$85+AA86+AA87+AA88</f>
        <v>12.136232235649253</v>
      </c>
      <c r="AB89" s="30">
        <f t="shared" ref="AB89" si="62">$B$85+AB86+AB87+AB88</f>
        <v>12.369271268124058</v>
      </c>
      <c r="AC89" s="30">
        <f t="shared" ref="AC89" si="63">$B$85+AC86+AC87+AC88</f>
        <v>12.602310300598859</v>
      </c>
      <c r="AD89" s="30">
        <f t="shared" ref="AD89" si="64">$B$85+AD86+AD87+AD88</f>
        <v>12.835349333073664</v>
      </c>
      <c r="AE89" s="30">
        <f t="shared" ref="AE89" si="65">$B$85+AE86+AE87+AE88</f>
        <v>13.068388365548468</v>
      </c>
      <c r="AF89" s="30">
        <f t="shared" ref="AF89" si="66">$B$85+AF86+AF87+AF88</f>
        <v>13.301427398023272</v>
      </c>
      <c r="AG89" s="30">
        <f t="shared" ref="AG89" si="67">$B$85+AG86+AG87+AG88</f>
        <v>13.534466430498075</v>
      </c>
      <c r="AH89" s="30">
        <f t="shared" ref="AH89" si="68">$B$85+AH86+AH87+AH88</f>
        <v>13.767505462972879</v>
      </c>
      <c r="AI89" s="30">
        <f t="shared" ref="AI89" si="69">$B$85+AI86+AI87+AI88</f>
        <v>14.000544495447684</v>
      </c>
      <c r="AJ89" s="30">
        <f t="shared" ref="AJ89" si="70">$B$85+AJ86+AJ87+AJ88</f>
        <v>14.233583527922487</v>
      </c>
      <c r="AK89" s="40">
        <f t="shared" ref="AK89" si="71">$B$85+AK86+AK87+AK88</f>
        <v>14.466622560397292</v>
      </c>
      <c r="AL89" s="30">
        <f t="shared" ref="AL89" si="72">$B$85+AL86+AL87+AL88</f>
        <v>14.699661592872097</v>
      </c>
      <c r="AM89" s="30">
        <f t="shared" ref="AM89" si="73">$B$85+AM86+AM87+AM88</f>
        <v>14.9327006253469</v>
      </c>
      <c r="AN89" s="30">
        <f t="shared" ref="AN89" si="74">$B$85+AN86+AN87+AN88</f>
        <v>15.165739657821705</v>
      </c>
      <c r="AO89" s="30">
        <f t="shared" ref="AO89" si="75">$B$85+AO86+AO87+AO88</f>
        <v>15.398778690296508</v>
      </c>
    </row>
    <row r="90" spans="1:41" x14ac:dyDescent="0.3">
      <c r="A90" s="45" t="s">
        <v>134</v>
      </c>
      <c r="B90" s="45"/>
      <c r="C90" s="45"/>
      <c r="D90" s="45"/>
      <c r="E90" s="45"/>
      <c r="F90" s="45"/>
      <c r="G90" s="45"/>
      <c r="H90" s="45"/>
      <c r="I90" s="45"/>
    </row>
    <row r="91" spans="1:41" x14ac:dyDescent="0.3">
      <c r="A91" t="s">
        <v>135</v>
      </c>
      <c r="B91" s="4">
        <f>(B3/(1-(B3/(B5*D19))))*1.2</f>
        <v>67.501007838745792</v>
      </c>
      <c r="C91" t="s">
        <v>10</v>
      </c>
      <c r="D91" t="s">
        <v>137</v>
      </c>
    </row>
    <row r="92" spans="1:41" x14ac:dyDescent="0.3">
      <c r="A92" t="s">
        <v>135</v>
      </c>
      <c r="B92" s="30">
        <f>($B$3/(B9*2*SQRT($B$21*10^-6*B47)))</f>
        <v>30.154861431004125</v>
      </c>
      <c r="C92" t="s">
        <v>10</v>
      </c>
      <c r="D92" t="s">
        <v>136</v>
      </c>
      <c r="J92" t="s">
        <v>10</v>
      </c>
      <c r="K92" s="30">
        <f>($B$3/(K9*2*SQRT($B$21*10^-6*(K47*10^-9))))</f>
        <v>30.154861431004125</v>
      </c>
      <c r="L92" s="30">
        <f t="shared" ref="L92:U92" si="76">($B$3/(L9*2*SQRT($B$21*10^-6*(L47*10^-9))))</f>
        <v>30.154861431004129</v>
      </c>
      <c r="M92" s="30">
        <f t="shared" si="76"/>
        <v>30.154861431004125</v>
      </c>
      <c r="N92" s="30">
        <f t="shared" si="76"/>
        <v>30.154861431004125</v>
      </c>
      <c r="O92" s="30">
        <f t="shared" si="76"/>
        <v>30.154861431004125</v>
      </c>
      <c r="P92" s="30">
        <f t="shared" si="76"/>
        <v>30.154861431004125</v>
      </c>
      <c r="Q92" s="30">
        <f t="shared" si="76"/>
        <v>30.154861431004129</v>
      </c>
      <c r="R92" s="30">
        <f t="shared" si="76"/>
        <v>30.154861431004125</v>
      </c>
      <c r="S92" s="30">
        <f t="shared" si="76"/>
        <v>30.154861431004125</v>
      </c>
      <c r="T92" s="30">
        <f t="shared" si="76"/>
        <v>30.154861431004122</v>
      </c>
      <c r="U92" s="30">
        <f t="shared" si="76"/>
        <v>30.154861431004125</v>
      </c>
      <c r="V92" s="30">
        <f t="shared" ref="V92:AE92" si="77">($B$3/(V9*2*SQRT($B$21*10^-6*(V47*10^-9))))</f>
        <v>30.154861431004129</v>
      </c>
      <c r="W92" s="30">
        <f t="shared" si="77"/>
        <v>30.154861431004129</v>
      </c>
      <c r="X92" s="30">
        <f t="shared" si="77"/>
        <v>30.154861431004129</v>
      </c>
      <c r="Y92" s="30">
        <f t="shared" si="77"/>
        <v>30.154861431004125</v>
      </c>
      <c r="Z92" s="30">
        <f t="shared" si="77"/>
        <v>30.154861431004122</v>
      </c>
      <c r="AA92" s="30">
        <f t="shared" si="77"/>
        <v>30.154861431004125</v>
      </c>
      <c r="AB92" s="30">
        <f t="shared" si="77"/>
        <v>30.154861431004125</v>
      </c>
      <c r="AC92" s="30">
        <f t="shared" si="77"/>
        <v>30.154861431004125</v>
      </c>
      <c r="AD92" s="30">
        <f t="shared" si="77"/>
        <v>30.154861431004125</v>
      </c>
      <c r="AE92" s="30">
        <f t="shared" si="77"/>
        <v>30.154861431004125</v>
      </c>
      <c r="AF92" s="30">
        <f t="shared" ref="AF92:AO92" si="78">($B$3/(AF9*2*SQRT($B$21*10^-6*(AF47*10^-9))))</f>
        <v>30.154861431004125</v>
      </c>
      <c r="AG92" s="30">
        <f t="shared" si="78"/>
        <v>30.154861431004129</v>
      </c>
      <c r="AH92" s="30">
        <f t="shared" si="78"/>
        <v>30.154861431004122</v>
      </c>
      <c r="AI92" s="30">
        <f t="shared" si="78"/>
        <v>30.154861431004125</v>
      </c>
      <c r="AJ92" s="30">
        <f t="shared" si="78"/>
        <v>30.154861431004125</v>
      </c>
      <c r="AK92" s="40">
        <f t="shared" si="78"/>
        <v>30.154861431004125</v>
      </c>
      <c r="AL92" s="30">
        <f t="shared" si="78"/>
        <v>30.154861431004122</v>
      </c>
      <c r="AM92" s="30">
        <f t="shared" si="78"/>
        <v>30.154861431004122</v>
      </c>
      <c r="AN92" s="30">
        <f t="shared" si="78"/>
        <v>30.154861431004125</v>
      </c>
      <c r="AO92" s="30">
        <f t="shared" si="78"/>
        <v>30.154861431004125</v>
      </c>
    </row>
    <row r="93" spans="1:41" x14ac:dyDescent="0.3">
      <c r="A93" t="s">
        <v>138</v>
      </c>
      <c r="B93">
        <f>SQRT(B49*(B7^2+(B29^2/12)))</f>
        <v>30.488928696381478</v>
      </c>
      <c r="C93" t="s">
        <v>23</v>
      </c>
    </row>
    <row r="94" spans="1:41" x14ac:dyDescent="0.3">
      <c r="F94" s="47" t="s">
        <v>141</v>
      </c>
      <c r="G94" s="47"/>
    </row>
    <row r="95" spans="1:41" x14ac:dyDescent="0.3">
      <c r="A95" t="s">
        <v>74</v>
      </c>
      <c r="B95" s="21">
        <f>D95*10^-3</f>
        <v>1.9E-3</v>
      </c>
      <c r="C95" t="s">
        <v>42</v>
      </c>
      <c r="D95">
        <v>1.9</v>
      </c>
      <c r="E95" t="s">
        <v>43</v>
      </c>
      <c r="F95" s="47"/>
      <c r="G95" s="47"/>
    </row>
    <row r="96" spans="1:41" x14ac:dyDescent="0.3">
      <c r="A96" t="s">
        <v>122</v>
      </c>
      <c r="B96" s="1">
        <f>D96*10^-9</f>
        <v>1.24E-7</v>
      </c>
      <c r="C96" t="s">
        <v>125</v>
      </c>
      <c r="D96">
        <v>124</v>
      </c>
      <c r="E96" t="s">
        <v>124</v>
      </c>
      <c r="F96" s="47"/>
      <c r="G96" s="47"/>
    </row>
    <row r="98" spans="1:41" x14ac:dyDescent="0.3">
      <c r="A98" t="s">
        <v>139</v>
      </c>
      <c r="B98" s="30">
        <f>($B$93^2*$B$95)+($B$11*$B$96*B9)</f>
        <v>1.8901920688007645</v>
      </c>
      <c r="C98" t="s">
        <v>20</v>
      </c>
      <c r="J98" t="s">
        <v>20</v>
      </c>
      <c r="K98" s="30">
        <f>($B$93^2*$B$95)+($B$11*$B$96*K9)</f>
        <v>1.8901920688007645</v>
      </c>
      <c r="L98" s="30">
        <f t="shared" ref="L98:U98" si="79">($B$93^2*$B$95)+($B$11*$B$96*L9)</f>
        <v>1.9025920688007645</v>
      </c>
      <c r="M98" s="30">
        <f t="shared" si="79"/>
        <v>1.9149920688007644</v>
      </c>
      <c r="N98" s="30">
        <f t="shared" si="79"/>
        <v>1.9273920688007644</v>
      </c>
      <c r="O98" s="30">
        <f t="shared" si="79"/>
        <v>1.9397920688007644</v>
      </c>
      <c r="P98" s="30">
        <f t="shared" si="79"/>
        <v>1.9521920688007643</v>
      </c>
      <c r="Q98" s="30">
        <f t="shared" si="79"/>
        <v>1.9645920688007643</v>
      </c>
      <c r="R98" s="30">
        <f t="shared" si="79"/>
        <v>1.9769920688007643</v>
      </c>
      <c r="S98" s="30">
        <f t="shared" si="79"/>
        <v>1.9893920688007645</v>
      </c>
      <c r="T98" s="30">
        <f t="shared" si="79"/>
        <v>2.0017920688007642</v>
      </c>
      <c r="U98" s="30">
        <f t="shared" si="79"/>
        <v>2.0141920688007646</v>
      </c>
      <c r="V98" s="30">
        <f t="shared" ref="V98:AE98" si="80">($B$93^2*$B$95)+($B$11*$B$96*V9)</f>
        <v>2.0265920688007646</v>
      </c>
      <c r="W98" s="30">
        <f t="shared" si="80"/>
        <v>2.0389920688007646</v>
      </c>
      <c r="X98" s="30">
        <f t="shared" si="80"/>
        <v>2.0513920688007645</v>
      </c>
      <c r="Y98" s="30">
        <f t="shared" si="80"/>
        <v>2.0637920688007645</v>
      </c>
      <c r="Z98" s="30">
        <f t="shared" si="80"/>
        <v>2.0761920688007645</v>
      </c>
      <c r="AA98" s="30">
        <f t="shared" si="80"/>
        <v>2.0885920688007644</v>
      </c>
      <c r="AB98" s="30">
        <f t="shared" si="80"/>
        <v>2.1009920688007644</v>
      </c>
      <c r="AC98" s="30">
        <f t="shared" si="80"/>
        <v>2.1133920688007644</v>
      </c>
      <c r="AD98" s="30">
        <f t="shared" si="80"/>
        <v>2.1257920688007643</v>
      </c>
      <c r="AE98" s="30">
        <f t="shared" si="80"/>
        <v>2.1381920688007643</v>
      </c>
      <c r="AF98" s="30">
        <f t="shared" ref="AF98:AO98" si="81">($B$93^2*$B$95)+($B$11*$B$96*AF9)</f>
        <v>2.1505920688007643</v>
      </c>
      <c r="AG98" s="30">
        <f t="shared" si="81"/>
        <v>2.1629920688007642</v>
      </c>
      <c r="AH98" s="30">
        <f t="shared" si="81"/>
        <v>2.1753920688007646</v>
      </c>
      <c r="AI98" s="30">
        <f t="shared" si="81"/>
        <v>2.1877920688007642</v>
      </c>
      <c r="AJ98" s="30">
        <f t="shared" si="81"/>
        <v>2.2001920688007646</v>
      </c>
      <c r="AK98" s="40">
        <f t="shared" si="81"/>
        <v>2.2125920688007645</v>
      </c>
      <c r="AL98" s="30">
        <f t="shared" si="81"/>
        <v>2.2249920688007645</v>
      </c>
      <c r="AM98" s="30">
        <f t="shared" si="81"/>
        <v>2.2373920688007645</v>
      </c>
      <c r="AN98" s="30">
        <f t="shared" si="81"/>
        <v>2.2497920688007644</v>
      </c>
      <c r="AO98" s="30">
        <f t="shared" si="81"/>
        <v>2.2621920688007644</v>
      </c>
    </row>
    <row r="100" spans="1:41" x14ac:dyDescent="0.3">
      <c r="A100" s="45" t="s">
        <v>144</v>
      </c>
      <c r="B100" s="45"/>
      <c r="C100" s="45"/>
      <c r="D100" s="45"/>
      <c r="E100" s="45"/>
      <c r="F100" s="45"/>
      <c r="G100" s="45"/>
      <c r="H100" s="45"/>
      <c r="I100" s="45"/>
    </row>
    <row r="101" spans="1:41" x14ac:dyDescent="0.3">
      <c r="A101" t="s">
        <v>145</v>
      </c>
    </row>
    <row r="102" spans="1:41" x14ac:dyDescent="0.3">
      <c r="A102" t="s">
        <v>151</v>
      </c>
      <c r="B102" t="s">
        <v>146</v>
      </c>
      <c r="C102" t="s">
        <v>152</v>
      </c>
    </row>
    <row r="103" spans="1:41" x14ac:dyDescent="0.3">
      <c r="A103" t="s">
        <v>147</v>
      </c>
      <c r="B103">
        <v>15</v>
      </c>
      <c r="C103">
        <v>6.25</v>
      </c>
    </row>
    <row r="104" spans="1:41" x14ac:dyDescent="0.3">
      <c r="A104" t="s">
        <v>150</v>
      </c>
      <c r="B104" t="s">
        <v>148</v>
      </c>
      <c r="C104" t="s">
        <v>153</v>
      </c>
    </row>
    <row r="105" spans="1:41" x14ac:dyDescent="0.3">
      <c r="A105" t="s">
        <v>149</v>
      </c>
      <c r="B105">
        <v>800</v>
      </c>
      <c r="C105">
        <v>1000</v>
      </c>
    </row>
    <row r="106" spans="1:41" x14ac:dyDescent="0.3">
      <c r="I106" t="s">
        <v>154</v>
      </c>
      <c r="J106" t="s">
        <v>20</v>
      </c>
      <c r="K106" s="35">
        <f>K98+K89+K72</f>
        <v>15.898855322965833</v>
      </c>
      <c r="L106" s="35">
        <f t="shared" ref="L106:T106" si="82">L98+L89+L72</f>
        <v>16.178794355440637</v>
      </c>
      <c r="M106" s="35">
        <f t="shared" si="82"/>
        <v>16.458733387915437</v>
      </c>
      <c r="N106" s="35">
        <f t="shared" si="82"/>
        <v>16.738672420390245</v>
      </c>
      <c r="O106" s="35">
        <f t="shared" si="82"/>
        <v>17.018611452865049</v>
      </c>
      <c r="P106" s="35">
        <f t="shared" si="82"/>
        <v>17.298550485339852</v>
      </c>
      <c r="Q106" s="35">
        <f t="shared" si="82"/>
        <v>17.578489517814653</v>
      </c>
      <c r="R106" s="35">
        <f t="shared" si="82"/>
        <v>17.85842855028946</v>
      </c>
      <c r="S106" s="35">
        <f t="shared" si="82"/>
        <v>18.138367582764268</v>
      </c>
      <c r="T106" s="35">
        <f t="shared" si="82"/>
        <v>18.418306615239068</v>
      </c>
      <c r="U106" s="35">
        <f>U98+U89+U72</f>
        <v>18.698245647713872</v>
      </c>
      <c r="V106" s="35">
        <f t="shared" ref="V106:AE106" si="83">V98+V89+V72</f>
        <v>18.978184680188676</v>
      </c>
      <c r="W106" s="35">
        <f t="shared" si="83"/>
        <v>19.258123712663483</v>
      </c>
      <c r="X106" s="35">
        <f t="shared" si="83"/>
        <v>19.538062745138284</v>
      </c>
      <c r="Y106" s="35">
        <f t="shared" si="83"/>
        <v>19.818001777613087</v>
      </c>
      <c r="Z106" s="35">
        <f t="shared" si="83"/>
        <v>20.097940810087895</v>
      </c>
      <c r="AA106" s="35">
        <f t="shared" si="83"/>
        <v>20.377879842562699</v>
      </c>
      <c r="AB106" s="35">
        <f t="shared" si="83"/>
        <v>20.657818875037499</v>
      </c>
      <c r="AC106" s="35">
        <f t="shared" si="83"/>
        <v>20.937757907512303</v>
      </c>
      <c r="AD106" s="35">
        <f t="shared" si="83"/>
        <v>21.217696939987107</v>
      </c>
      <c r="AE106" s="35">
        <f t="shared" si="83"/>
        <v>21.497635972461914</v>
      </c>
      <c r="AF106" s="35">
        <f t="shared" ref="AF106:AO106" si="84">AF98+AF89+AF72</f>
        <v>21.777575004936715</v>
      </c>
      <c r="AG106" s="35">
        <f t="shared" si="84"/>
        <v>22.057514037411519</v>
      </c>
      <c r="AH106" s="35">
        <f t="shared" si="84"/>
        <v>22.337453069886323</v>
      </c>
      <c r="AI106" s="35">
        <f t="shared" si="84"/>
        <v>22.61739210236113</v>
      </c>
      <c r="AJ106" s="35">
        <f t="shared" si="84"/>
        <v>22.89733113483593</v>
      </c>
      <c r="AK106" s="37">
        <f t="shared" si="84"/>
        <v>23.177270167310738</v>
      </c>
      <c r="AL106" s="35">
        <f t="shared" si="84"/>
        <v>23.457209199785545</v>
      </c>
      <c r="AM106" s="35">
        <f t="shared" si="84"/>
        <v>23.737148232260346</v>
      </c>
      <c r="AN106" s="35">
        <f t="shared" si="84"/>
        <v>24.017087264735149</v>
      </c>
      <c r="AO106" s="35">
        <f t="shared" si="84"/>
        <v>24.29702629720995</v>
      </c>
    </row>
  </sheetData>
  <mergeCells count="13">
    <mergeCell ref="A100:I100"/>
    <mergeCell ref="A74:I74"/>
    <mergeCell ref="F75:G77"/>
    <mergeCell ref="A78:I78"/>
    <mergeCell ref="F81:G83"/>
    <mergeCell ref="A90:I90"/>
    <mergeCell ref="F94:G96"/>
    <mergeCell ref="G61:I64"/>
    <mergeCell ref="A1:I1"/>
    <mergeCell ref="A13:I13"/>
    <mergeCell ref="A27:I27"/>
    <mergeCell ref="A45:I45"/>
    <mergeCell ref="A54:I5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Deeken</dc:creator>
  <cp:lastModifiedBy>Lukas Deeken</cp:lastModifiedBy>
  <dcterms:created xsi:type="dcterms:W3CDTF">2015-06-05T18:19:34Z</dcterms:created>
  <dcterms:modified xsi:type="dcterms:W3CDTF">2022-01-07T13:47:25Z</dcterms:modified>
</cp:coreProperties>
</file>