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3"/>
  <workbookPr/>
  <mc:AlternateContent xmlns:mc="http://schemas.openxmlformats.org/markup-compatibility/2006">
    <mc:Choice Requires="x15">
      <x15ac:absPath xmlns:x15ac="http://schemas.microsoft.com/office/spreadsheetml/2010/11/ac" url="G:\Analyst Folders\Sara Brumfield\exp_planning_year\3b_tls_target_memos\inputs\"/>
    </mc:Choice>
  </mc:AlternateContent>
  <xr:revisionPtr revIDLastSave="0" documentId="8_{437BF63F-8D80-4569-A123-B767E27E77BF}" xr6:coauthVersionLast="47" xr6:coauthVersionMax="47" xr10:uidLastSave="{00000000-0000-0000-0000-000000000000}"/>
  <bookViews>
    <workbookView xWindow="-28425" yWindow="105" windowWidth="26790" windowHeight="14565" xr2:uid="{00000000-000D-0000-FFFF-FFFF00000000}"/>
  </bookViews>
  <sheets>
    <sheet name="FY23TLS" sheetId="1" r:id="rId1"/>
    <sheet name="Housing" sheetId="2" r:id="rId2"/>
    <sheet name="Arts" sheetId="4" r:id="rId3"/>
    <sheet name="Civic Promotion" sheetId="3" r:id="rId4"/>
    <sheet name="Family League" sheetId="5" r:id="rId5"/>
  </sheets>
  <definedNames>
    <definedName name="_xlnm.Print_Titles" localSheetId="0">FY23TLS!$1:$1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D10" i="1"/>
  <c r="E10" i="1" s="1"/>
  <c r="D11" i="1"/>
  <c r="D51" i="1"/>
  <c r="F2" i="1"/>
  <c r="F3" i="1"/>
  <c r="F5" i="1"/>
  <c r="F6" i="1"/>
  <c r="F7" i="1"/>
  <c r="F14" i="1"/>
  <c r="F16" i="1"/>
  <c r="F19" i="1"/>
  <c r="F20" i="1"/>
  <c r="F21" i="1"/>
  <c r="F22" i="1"/>
  <c r="F23" i="1"/>
  <c r="F24" i="1"/>
  <c r="F25" i="1"/>
  <c r="F26" i="1"/>
  <c r="F31" i="1"/>
  <c r="F32" i="1"/>
  <c r="F33" i="1"/>
  <c r="F34" i="1"/>
  <c r="F35" i="1"/>
  <c r="F37" i="1"/>
  <c r="F38" i="1"/>
  <c r="F39" i="1"/>
  <c r="F41" i="1"/>
  <c r="F45" i="1"/>
  <c r="F46" i="1"/>
  <c r="F47" i="1"/>
  <c r="F48" i="1"/>
  <c r="F52" i="1"/>
  <c r="F54" i="1"/>
  <c r="F55" i="1"/>
  <c r="F56" i="1"/>
  <c r="E3" i="1"/>
  <c r="E5" i="1"/>
  <c r="E6" i="1"/>
  <c r="E7" i="1"/>
  <c r="E12" i="1"/>
  <c r="F12" i="1" s="1"/>
  <c r="E14" i="1"/>
  <c r="E15" i="1"/>
  <c r="F15" i="1" s="1"/>
  <c r="E16" i="1"/>
  <c r="E19" i="1"/>
  <c r="E20" i="1"/>
  <c r="E21" i="1"/>
  <c r="E22" i="1"/>
  <c r="E23" i="1"/>
  <c r="E24" i="1"/>
  <c r="E25" i="1"/>
  <c r="E26" i="1"/>
  <c r="E28" i="1"/>
  <c r="F28" i="1" s="1"/>
  <c r="E29" i="1"/>
  <c r="F29" i="1" s="1"/>
  <c r="E30" i="1"/>
  <c r="F30" i="1" s="1"/>
  <c r="E31" i="1"/>
  <c r="E32" i="1"/>
  <c r="E33" i="1"/>
  <c r="E34" i="1"/>
  <c r="E35" i="1"/>
  <c r="F36" i="1"/>
  <c r="E37" i="1"/>
  <c r="E38" i="1"/>
  <c r="E39" i="1"/>
  <c r="E40" i="1"/>
  <c r="F40" i="1" s="1"/>
  <c r="E41" i="1"/>
  <c r="E42" i="1"/>
  <c r="F42" i="1" s="1"/>
  <c r="E44" i="1"/>
  <c r="F44" i="1" s="1"/>
  <c r="E45" i="1"/>
  <c r="E46" i="1"/>
  <c r="E47" i="1"/>
  <c r="E48" i="1"/>
  <c r="E49" i="1"/>
  <c r="F49" i="1" s="1"/>
  <c r="E50" i="1"/>
  <c r="F50" i="1" s="1"/>
  <c r="E52" i="1"/>
  <c r="F53" i="1"/>
  <c r="E54" i="1"/>
  <c r="E55" i="1"/>
  <c r="E56" i="1"/>
  <c r="E2" i="1"/>
  <c r="C27" i="1"/>
  <c r="C13" i="1"/>
  <c r="D4" i="1"/>
  <c r="D8" i="1"/>
  <c r="D9" i="1"/>
  <c r="D13" i="1"/>
  <c r="F13" i="1" s="1"/>
  <c r="D17" i="1"/>
  <c r="F17" i="1" s="1"/>
  <c r="D18" i="1"/>
  <c r="D27" i="1"/>
  <c r="D43" i="1"/>
  <c r="E43" i="1" s="1"/>
  <c r="F43" i="1" s="1"/>
  <c r="E27" i="1" l="1"/>
  <c r="F27" i="1"/>
  <c r="E8" i="1"/>
  <c r="F8" i="1"/>
  <c r="E4" i="1"/>
  <c r="F4" i="1"/>
  <c r="F10" i="1"/>
  <c r="E18" i="1"/>
  <c r="F18" i="1" s="1"/>
  <c r="E17" i="1"/>
  <c r="E9" i="1"/>
  <c r="F9" i="1" s="1"/>
  <c r="E51" i="1"/>
  <c r="F51" i="1" s="1"/>
  <c r="J11" i="1" l="1"/>
  <c r="F11" i="1" s="1"/>
  <c r="C21" i="1" l="1"/>
  <c r="B13" i="1"/>
  <c r="F1" i="4"/>
  <c r="E4" i="2"/>
  <c r="E3" i="2"/>
  <c r="E2" i="2"/>
  <c r="B5" i="2" l="1"/>
  <c r="E1" i="2" s="1"/>
  <c r="B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tc={3F3B94B7-0A9B-43B5-92AB-2715A32F373D}</author>
    <author>tc={9287C9D8-8D10-4AE3-A2BF-79988B7ABCC4}</author>
    <author>tc={1A82BFF1-7DF1-444C-A75A-7A7737C5C5E1}</author>
    <author>tc={CB25BE5F-37F9-4685-B501-53F9F7F9D1D6}</author>
    <author>tc={0E6045D8-1DC4-4985-90AF-1708E565F867}</author>
    <author>tc={3C0881C9-4620-4E13-93F8-B8AB3F5E42FF}</author>
    <author>tc={CE86835D-6CC1-4E90-8C66-7E97E3A20D6D}</author>
    <author>tc={CE86835D-6CC1-4E91-8C66-7E97E3A20D6D}</author>
    <author>tc={15B4C74D-42CF-42FB-BDB1-C285ECDCEEDA}</author>
    <author>tc={96BA7FF1-A37B-430F-8468-A32DD45C6F3A}</author>
    <author>tc={9673DB5C-39FF-4DB1-886C-3D93C88CF1E0}</author>
    <author>tc={302DDA77-030B-402F-8582-5C9B0E68C504}</author>
    <author>tc={B9B9A0DF-0988-4855-9B88-29E4CA5DB0AF}</author>
    <author>tc={DA67C27D-F58F-4A49-941C-97D417F15D6E}</author>
    <author>tc={926E587B-A529-4A90-B2F3-0854D3BE2A18}</author>
    <author>tc={E7EFCFEF-67AF-4701-8DB5-9D76E4FABBC4}</author>
    <author>tc={1798D7A8-9732-471B-9447-A7BA149318F2}</author>
    <author>tc={BC5BB0ED-E858-46B9-B5A5-1F8DEB70DED3}</author>
    <author>tc={126BC2E6-5376-47EB-B369-7AE75EF01EC1}</author>
    <author>tc={91B27B77-86AF-402E-B192-9C29C63C4E8F}</author>
    <author>tc={9F73ECB0-BCFB-45F2-9E18-9A247E3DE15E}</author>
    <author>tc={BA71ACED-B90E-4BF5-B44F-73B010277776}</author>
    <author>tc={3864178A-02C0-40A2-900A-D52105C01A3E}</author>
    <author>Camp, Yolanda (DOF)</author>
    <author>tc={27A66E6E-5A1D-4E38-B085-E58990DB7B9C}</author>
    <author>tc={3C21E93A-8720-4F15-987E-6262EFB1AC28}</author>
    <author>tc={85E23657-C61D-4C0C-8D85-B0E805925DA3}</author>
    <author>tc={59AE45BA-CD67-461C-B73B-FF72FA583994}</author>
    <author>tc={3EB7F8A2-21F5-4066-87CE-C15C97BF0E75}</author>
    <author>tc={73AAD131-4087-4497-9553-DB02529CC4BD}</author>
    <author>tc={2B7BEB8B-DD27-4205-B4D1-410772339352}</author>
    <author>tc={8CE59F65-97DC-4AC3-AE06-4E22DE82A1A7}</author>
    <author>tc={2E998ED3-F6AD-4B1E-9BE2-52DF05F7BD84}</author>
  </authors>
  <commentList>
    <comment ref="B1" authorId="0" shapeId="0" xr:uid="{3F3B94B7-0A9B-43B5-92AB-2715A32F373D}">
      <text>
        <t>[Threaded comment]
Your version of Excel allows you to read this threaded comment; however, any edits to it will get removed if the file is opened in a newer version of Excel. Learn more: https://go.microsoft.com/fwlink/?linkid=870924
Comment:
    From BPFS</t>
      </text>
    </comment>
    <comment ref="C1" authorId="1" shapeId="0" xr:uid="{9287C9D8-8D10-4AE3-A2BF-79988B7ABCC4}">
      <text>
        <t>[Threaded comment]
Your version of Excel allows you to read this threaded comment; however, any edits to it will get removed if the file is opened in a newer version of Excel. Learn more: https://go.microsoft.com/fwlink/?linkid=870924
Comment:
    From BPFS</t>
      </text>
    </comment>
    <comment ref="D1" authorId="2" shapeId="0" xr:uid="{1A82BFF1-7DF1-444C-A75A-7A7737C5C5E1}">
      <text>
        <t>[Threaded comment]
Your version of Excel allows you to read this threaded comment; however, any edits to it will get removed if the file is opened in a newer version of Excel. Learn more: https://go.microsoft.com/fwlink/?linkid=870924
Comment:
    From Results Teams</t>
      </text>
    </comment>
    <comment ref="E1" authorId="3" shapeId="0" xr:uid="{CB25BE5F-37F9-4685-B501-53F9F7F9D1D6}">
      <text>
        <t>[Threaded comment]
Your version of Excel allows you to read this threaded comment; however, any edits to it will get removed if the file is opened in a newer version of Excel. Learn more: https://go.microsoft.com/fwlink/?linkid=870924
Comment:
    this is what goes in the memos for TLS</t>
      </text>
    </comment>
    <comment ref="G1" authorId="4" shapeId="0" xr:uid="{0E6045D8-1DC4-4985-90AF-1708E565F867}">
      <text>
        <t>[Threaded comment]
Your version of Excel allows you to read this threaded comment; however, any edits to it will get removed if the file is opened in a newer version of Excel. Learn more: https://go.microsoft.com/fwlink/?linkid=870924
Comment:
    From FY22</t>
      </text>
    </comment>
    <comment ref="H1" authorId="5" shapeId="0" xr:uid="{3C0881C9-4620-4E13-93F8-B8AB3F5E42FF}">
      <text>
        <t>[Threaded comment]
Your version of Excel allows you to read this threaded comment; however, any edits to it will get removed if the file is opened in a newer version of Excel. Learn more: https://go.microsoft.com/fwlink/?linkid=870924
Comment:
    From FY22</t>
      </text>
    </comment>
    <comment ref="I1" authorId="6" shapeId="0" xr:uid="{CE86835D-6CC1-4E90-8C66-7E97E3A20D6D}">
      <text>
        <t>[Threaded comment]
Your version of Excel allows you to read this threaded comment; however, any edits to it will get removed if the file is opened in a newer version of Excel. Learn more: https://go.microsoft.com/fwlink/?linkid=870924
Comment:
    Enhancements and adjustments already in TLS. Do not add to TLS.</t>
      </text>
    </comment>
    <comment ref="L1" authorId="7" shapeId="0" xr:uid="{C865F465-217C-4E82-BB66-E37712EAEF52}">
      <text>
        <t>[Threaded comment]
Your version of Excel allows you to read this threaded comment; however, any edits to it will get removed if the file is opened in a newer version of Excel. Learn more: https://go.microsoft.com/fwlink/?linkid=870924
Comment:
    Enhancements and adjustments already in TLS. Do not add to TLS.</t>
      </text>
    </comment>
    <comment ref="A4" authorId="8" shapeId="0" xr:uid="{15B4C74D-42CF-42FB-BDB1-C285ECDCEEDA}">
      <text>
        <t>[Threaded comment]
Your version of Excel allows you to read this threaded comment; however, any edits to it will get removed if the file is opened in a newer version of Excel. Learn more: https://go.microsoft.com/fwlink/?linkid=870924
Comment:
    ISF</t>
      </text>
    </comment>
    <comment ref="D4" authorId="9" shapeId="0" xr:uid="{96BA7FF1-A37B-430F-8468-A32DD45C6F3A}">
      <text>
        <t>[Threaded comment]
Your version of Excel allows you to read this threaded comment; however, any edits to it will get removed if the file is opened in a newer version of Excel. Learn more: https://go.microsoft.com/fwlink/?linkid=870924
Comment:
    ISF removed</t>
      </text>
    </comment>
    <comment ref="A9" authorId="10" shapeId="0" xr:uid="{9673DB5C-39FF-4DB1-886C-3D93C88CF1E0}">
      <text>
        <t>[Threaded comment]
Your version of Excel allows you to read this threaded comment; however, any edits to it will get removed if the file is opened in a newer version of Excel. Learn more: https://go.microsoft.com/fwlink/?linkid=870924
Comment:
    ISF</t>
      </text>
    </comment>
    <comment ref="D9" authorId="11" shapeId="0" xr:uid="{302DDA77-030B-402F-8582-5C9B0E68C504}">
      <text>
        <t>[Threaded comment]
Your version of Excel allows you to read this threaded comment; however, any edits to it will get removed if the file is opened in a newer version of Excel. Learn more: https://go.microsoft.com/fwlink/?linkid=870924
Comment:
    ISF removed</t>
      </text>
    </comment>
    <comment ref="A10" authorId="12" shapeId="0" xr:uid="{B9B9A0DF-0988-4855-9B88-29E4CA5DB0AF}">
      <text>
        <t>[Threaded comment]
Your version of Excel allows you to read this threaded comment; however, any edits to it will get removed if the file is opened in a newer version of Excel. Learn more: https://go.microsoft.com/fwlink/?linkid=870924
Comment:
    ISF</t>
      </text>
    </comment>
    <comment ref="D10" authorId="13" shapeId="0" xr:uid="{DA67C27D-F58F-4A49-941C-97D417F15D6E}">
      <text>
        <t>[Threaded comment]
Your version of Excel allows you to read this threaded comment; however, any edits to it will get removed if the file is opened in a newer version of Excel. Learn more: https://go.microsoft.com/fwlink/?linkid=870924
Comment:
    Adjusted</t>
      </text>
    </comment>
    <comment ref="A11" authorId="14" shapeId="0" xr:uid="{926E587B-A529-4A90-B2F3-0854D3BE2A18}">
      <text>
        <t>[Threaded comment]
Your version of Excel allows you to read this threaded comment; however, any edits to it will get removed if the file is opened in a newer version of Excel. Learn more: https://go.microsoft.com/fwlink/?linkid=870924
Comment:
    ISF</t>
      </text>
    </comment>
    <comment ref="D11" authorId="15" shapeId="0" xr:uid="{E7EFCFEF-67AF-4701-8DB5-9D76E4FABBC4}">
      <text>
        <t>[Threaded comment]
Your version of Excel allows you to read this threaded comment; however, any edits to it will get removed if the file is opened in a newer version of Excel. Learn more: https://go.microsoft.com/fwlink/?linkid=870924
Comment:
    ISF removed</t>
      </text>
    </comment>
    <comment ref="C13" authorId="16" shapeId="0" xr:uid="{1798D7A8-9732-471B-9447-A7BA149318F2}">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D13" authorId="17" shapeId="0" xr:uid="{BC5BB0ED-E858-46B9-B5A5-1F8DEB70DED3}">
      <text>
        <t>[Threaded comment]
Your version of Excel allows you to read this threaded comment; however, any edits to it will get removed if the file is opened in a newer version of Excel. Learn more: https://go.microsoft.com/fwlink/?linkid=870924
Comment:
    Adjusted for 752 change.</t>
      </text>
    </comment>
    <comment ref="A17" authorId="18" shapeId="0" xr:uid="{126BC2E6-5376-47EB-B369-7AE75EF01EC1}">
      <text>
        <t>[Threaded comment]
Your version of Excel allows you to read this threaded comment; however, any edits to it will get removed if the file is opened in a newer version of Excel. Learn more: https://go.microsoft.com/fwlink/?linkid=870924
Comment:
    ISF</t>
      </text>
    </comment>
    <comment ref="D17" authorId="19" shapeId="0" xr:uid="{91B27B77-86AF-402E-B192-9C29C63C4E8F}">
      <text>
        <t>[Threaded comment]
Your version of Excel allows you to read this threaded comment; however, any edits to it will get removed if the file is opened in a newer version of Excel. Learn more: https://go.microsoft.com/fwlink/?linkid=870924
Comment:
    ISF removed</t>
      </text>
    </comment>
    <comment ref="A18" authorId="20" shapeId="0" xr:uid="{9F73ECB0-BCFB-45F2-9E18-9A247E3DE15E}">
      <text>
        <t>[Threaded comment]
Your version of Excel allows you to read this threaded comment; however, any edits to it will get removed if the file is opened in a newer version of Excel. Learn more: https://go.microsoft.com/fwlink/?linkid=870924
Comment:
    ISF</t>
      </text>
    </comment>
    <comment ref="D18" authorId="21" shapeId="0" xr:uid="{BA71ACED-B90E-4BF5-B44F-73B010277776}">
      <text>
        <t>[Threaded comment]
Your version of Excel allows you to read this threaded comment; however, any edits to it will get removed if the file is opened in a newer version of Excel. Learn more: https://go.microsoft.com/fwlink/?linkid=870924
Comment:
    ISF removed</t>
      </text>
    </comment>
    <comment ref="C34" authorId="22" shapeId="0" xr:uid="{3864178A-02C0-40A2-900A-D52105C01A3E}">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B40" authorId="23" shapeId="0" xr:uid="{11D91060-6280-4138-8F94-7818EC8C1F3C}">
      <text>
        <r>
          <rPr>
            <sz val="10"/>
            <color rgb="FF000000"/>
            <rFont val="Calibri"/>
          </rPr>
          <t xml:space="preserve">Camp, Yolanda (DOF):
</t>
        </r>
      </text>
    </comment>
    <comment ref="C40" authorId="24" shapeId="0" xr:uid="{27A66E6E-5A1D-4E38-B085-E58990DB7B9C}">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C41" authorId="25" shapeId="0" xr:uid="{3C21E93A-8720-4F15-987E-6262EFB1AC28}">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A43" authorId="26" shapeId="0" xr:uid="{85E23657-C61D-4C0C-8D85-B0E805925DA3}">
      <text>
        <t>[Threaded comment]
Your version of Excel allows you to read this threaded comment; however, any edits to it will get removed if the file is opened in a newer version of Excel. Learn more: https://go.microsoft.com/fwlink/?linkid=870924
Comment:
    ISF</t>
      </text>
    </comment>
    <comment ref="D43" authorId="27" shapeId="0" xr:uid="{59AE45BA-CD67-461C-B73B-FF72FA583994}">
      <text>
        <t>[Threaded comment]
Your version of Excel allows you to read this threaded comment; however, any edits to it will get removed if the file is opened in a newer version of Excel. Learn more: https://go.microsoft.com/fwlink/?linkid=870924
Comment:
    ISF removed</t>
      </text>
    </comment>
    <comment ref="C47" authorId="28" shapeId="0" xr:uid="{3EB7F8A2-21F5-4066-87CE-C15C97BF0E75}">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C50" authorId="29" shapeId="0" xr:uid="{73AAD131-4087-4497-9553-DB02529CC4BD}">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D51" authorId="30" shapeId="0" xr:uid="{2B7BEB8B-DD27-4205-B4D1-410772339352}">
      <text>
        <t>[Threaded comment]
Your version of Excel allows you to read this threaded comment; however, any edits to it will get removed if the file is opened in a newer version of Excel. Learn more: https://go.microsoft.com/fwlink/?linkid=870924
Comment:
    Adjusted.
Reply:
    Added back the RT recommendation to reduce Patrol by $10M ($10m from ($533,657,401+10M=$542,370,111). The Mayor's recommendation to reduce patrol by $4m is in column O-Adjustments.
Reply:
    got it.</t>
      </text>
    </comment>
    <comment ref="C53" authorId="31" shapeId="0" xr:uid="{8CE59F65-97DC-4AC3-AE06-4E22DE82A1A7}">
      <text>
        <t>[Threaded comment]
Your version of Excel allows you to read this threaded comment; however, any edits to it will get removed if the file is opened in a newer version of Excel. Learn more: https://go.microsoft.com/fwlink/?linkid=870924
Comment:
    CLS from Result Teams not BPFS</t>
      </text>
    </comment>
    <comment ref="E53" authorId="32" shapeId="0" xr:uid="{2E998ED3-F6AD-4B1E-9BE2-52DF05F7BD84}">
      <text>
        <t>[Threaded comment]
Your version of Excel allows you to read this threaded comment; however, any edits to it will get removed if the file is opened in a newer version of Excel. Learn more: https://go.microsoft.com/fwlink/?linkid=870924
Comment:
    This will have to be adjusted manually in the memo since Rec and Parks is different from the others. Don't change the value here because it will change all values in the column for other agencies too.</t>
      </text>
    </comment>
  </commentList>
</comments>
</file>

<file path=xl/sharedStrings.xml><?xml version="1.0" encoding="utf-8"?>
<sst xmlns="http://schemas.openxmlformats.org/spreadsheetml/2006/main" count="238" uniqueCount="145">
  <si>
    <t>Agency Name</t>
  </si>
  <si>
    <t>FY22 Adopted</t>
  </si>
  <si>
    <t>FY23 CLS</t>
  </si>
  <si>
    <t>FY23 TLS</t>
  </si>
  <si>
    <t>FY23 TLS for Memos</t>
  </si>
  <si>
    <t>FY23 CLS to FY23 TLS Change</t>
  </si>
  <si>
    <t>DGS Rent Reallocation</t>
  </si>
  <si>
    <t>Workers' Compensation Update</t>
  </si>
  <si>
    <t>Enhancement</t>
  </si>
  <si>
    <t>Enhancement Amount</t>
  </si>
  <si>
    <t>Enhancement Description</t>
  </si>
  <si>
    <t>Enhancement2</t>
  </si>
  <si>
    <t>Enhancement Amount2</t>
  </si>
  <si>
    <t>Enhancement Description2</t>
  </si>
  <si>
    <t>Other Adjustments 1</t>
  </si>
  <si>
    <t>Adjustment Type 1</t>
  </si>
  <si>
    <t>Adjustment Name</t>
  </si>
  <si>
    <t>Other Adjustments 2</t>
  </si>
  <si>
    <t>Adjustment Type 2</t>
  </si>
  <si>
    <t>Adjustment Name 2</t>
  </si>
  <si>
    <t>Other Adjustments 3</t>
  </si>
  <si>
    <t>Adjustment Type 3</t>
  </si>
  <si>
    <t>Other Global Adjustments</t>
  </si>
  <si>
    <t>Other Global Adjustments Type</t>
  </si>
  <si>
    <t>COVID CARES or FEMA Funding</t>
  </si>
  <si>
    <t>Board of Elections</t>
  </si>
  <si>
    <t>Fleet and OPC Updates; Office Supply and Travel Savings; Etc. or Neutral Agency Adjustments</t>
  </si>
  <si>
    <t>City Council</t>
  </si>
  <si>
    <t>Comptroller</t>
  </si>
  <si>
    <t>Council Services</t>
  </si>
  <si>
    <t>Courts: Circuit Court</t>
  </si>
  <si>
    <t>Courts: Orphans' Court</t>
  </si>
  <si>
    <t>Enoch Pratt Free Library</t>
  </si>
  <si>
    <t>Finance</t>
  </si>
  <si>
    <t>BBMR Special Funds Analyst</t>
  </si>
  <si>
    <t>Fire</t>
  </si>
  <si>
    <t>Fire Apprenticeship</t>
  </si>
  <si>
    <t>Reimbursement Revenue</t>
  </si>
  <si>
    <t>Adjustment</t>
  </si>
  <si>
    <t>EMS Investments</t>
  </si>
  <si>
    <t>General Services</t>
  </si>
  <si>
    <t xml:space="preserve">Energy Enhancement </t>
  </si>
  <si>
    <t>EnergyStar Software</t>
  </si>
  <si>
    <t>Facilities Management Enhancement</t>
  </si>
  <si>
    <t>95085</t>
  </si>
  <si>
    <t>1 FTE</t>
  </si>
  <si>
    <t>Health</t>
  </si>
  <si>
    <t>Zeta Center Director</t>
  </si>
  <si>
    <t>Housing and Community Development</t>
  </si>
  <si>
    <t xml:space="preserve">Vacant Building Enhancement </t>
  </si>
  <si>
    <t>Personnel for vacant building acquisition</t>
  </si>
  <si>
    <t>Emergency Response Enhancement</t>
  </si>
  <si>
    <t>474000</t>
  </si>
  <si>
    <t>Personnel for emergency response</t>
  </si>
  <si>
    <t>Waterfront Partnership</t>
  </si>
  <si>
    <t>Live Baltimore</t>
  </si>
  <si>
    <t>Personnel and program costs for Black and immigrant family outreach and data analysis</t>
  </si>
  <si>
    <t>Baltimore Development Corp</t>
  </si>
  <si>
    <t>Human Resources</t>
  </si>
  <si>
    <t>Law</t>
  </si>
  <si>
    <t>MWBOO personnel</t>
  </si>
  <si>
    <t>Legislative Reference</t>
  </si>
  <si>
    <t>Liquor License Board</t>
  </si>
  <si>
    <t>BOPA</t>
  </si>
  <si>
    <t>Baltimore Museum of Art</t>
  </si>
  <si>
    <t>Baltimore Symphony</t>
  </si>
  <si>
    <t>MD Zoo in Baltimore</t>
  </si>
  <si>
    <t>Walters Art Gallery</t>
  </si>
  <si>
    <t>M-R: Cable and Communications</t>
  </si>
  <si>
    <t>M-R: Civic Promotion</t>
  </si>
  <si>
    <t>Baltimore Heritage Area</t>
  </si>
  <si>
    <t>State grant match</t>
  </si>
  <si>
    <t>Baltimore Public Markets</t>
  </si>
  <si>
    <t>Point of Sale System</t>
  </si>
  <si>
    <t>Visit Baltimore</t>
  </si>
  <si>
    <t>Visitor Center</t>
  </si>
  <si>
    <t>Pride of Baltimore</t>
  </si>
  <si>
    <t>Sail Baltimore</t>
  </si>
  <si>
    <t>Lexington Market</t>
  </si>
  <si>
    <t>M-R: Convention Complex</t>
  </si>
  <si>
    <t>M-R: Educational Grants</t>
  </si>
  <si>
    <t>M-R: Environmental Control Board</t>
  </si>
  <si>
    <t>Zoom Licenses</t>
  </si>
  <si>
    <t>Family League Education</t>
  </si>
  <si>
    <t>Family League Home Visiting</t>
  </si>
  <si>
    <t>Legal Aid</t>
  </si>
  <si>
    <t>M-R: Office of Children and Family Success</t>
  </si>
  <si>
    <t>Funding for various youth programming and grants</t>
  </si>
  <si>
    <t>M-R: Office of Employment Development</t>
  </si>
  <si>
    <t>M-R: Office of Homeless Services</t>
  </si>
  <si>
    <t>Funding for winter temporary employees and training</t>
  </si>
  <si>
    <t>M-R: Office of Information and Technology</t>
  </si>
  <si>
    <t>Cyber security personnel</t>
  </si>
  <si>
    <t>M-R: Office of Neighborhood Safety and Engagement</t>
  </si>
  <si>
    <t>ERPO Navigators: $200,000​; SideStep youth diversion program: $500,000​; SEL (Social and Emotional Learning) Development Program: $250,000​; CNSR bus: $150,000 as a one-time enhancement for Fiscal 2023.</t>
  </si>
  <si>
    <t>M-R: Office of the Inspector General</t>
  </si>
  <si>
    <t>M-R: Office of the Labor Commissioner</t>
  </si>
  <si>
    <t>Mayoralty</t>
  </si>
  <si>
    <t>Municipal and Zoning Appeals</t>
  </si>
  <si>
    <t>Office of Equity and Civil Rights</t>
  </si>
  <si>
    <t>2 FTEs for Equity Assessment Program</t>
  </si>
  <si>
    <t>Planning</t>
  </si>
  <si>
    <t>Resiliency Planner</t>
  </si>
  <si>
    <t>Police</t>
  </si>
  <si>
    <t>Center for Hope Enhancement</t>
  </si>
  <si>
    <t>To support the lease payments for the Baltimore Child Abuse Center at the Center of Hope.</t>
  </si>
  <si>
    <t>GVRS Enhancement</t>
  </si>
  <si>
    <t>GVRS Personnel</t>
  </si>
  <si>
    <t>Abolish 40 vacant PINs</t>
  </si>
  <si>
    <t>Public Works</t>
  </si>
  <si>
    <t>Recreation and Parks</t>
  </si>
  <si>
    <t>Personnel for Bocek, Towanda, Harlem Park, and Crispus Attucks Recreation Centers (approved to be funding using Table Games revenue)</t>
  </si>
  <si>
    <t>Sheriff</t>
  </si>
  <si>
    <t>State's Attorney</t>
  </si>
  <si>
    <t>Transportation</t>
  </si>
  <si>
    <t>Administration - HCD</t>
  </si>
  <si>
    <t>Housing</t>
  </si>
  <si>
    <t>Affordable Housing</t>
  </si>
  <si>
    <t>Before and After Care</t>
  </si>
  <si>
    <t>Building and Zoning Inspections and Permits</t>
  </si>
  <si>
    <t>Community Outreach Services</t>
  </si>
  <si>
    <t>Community Support Projects</t>
  </si>
  <si>
    <t>Dawson Center</t>
  </si>
  <si>
    <t>Housing Code Enforcement</t>
  </si>
  <si>
    <t>Housing Rehabilitation Services</t>
  </si>
  <si>
    <t>Inner Harbor Coordination</t>
  </si>
  <si>
    <t>Promote Homeownership</t>
  </si>
  <si>
    <t>Property Acquisition, Disposition and Asset Management</t>
  </si>
  <si>
    <t>Real Estate Development</t>
  </si>
  <si>
    <t>Register and License Properties and Contractors</t>
  </si>
  <si>
    <t>Retention, Expansion, and Attraction of Businesses</t>
  </si>
  <si>
    <t>Summer Food Service Program</t>
  </si>
  <si>
    <t>Technology Development - Emerging Technology Center</t>
  </si>
  <si>
    <t>Weatherization Services</t>
  </si>
  <si>
    <t>Enhancement 4</t>
  </si>
  <si>
    <t>Enhancement 5</t>
  </si>
  <si>
    <t>Enhancement 6</t>
  </si>
  <si>
    <t>Bromo Seltzer Arts Tower</t>
  </si>
  <si>
    <t>Events, Art, Culture, and Film</t>
  </si>
  <si>
    <t>Enhancement 7</t>
  </si>
  <si>
    <t>Enhancement 2</t>
  </si>
  <si>
    <t>Enhancement 3</t>
  </si>
  <si>
    <t>Visit Baltimore, Pride of Baltimore, Sail Baltimore</t>
  </si>
  <si>
    <t>Convention Sales and Tourism Marketing</t>
  </si>
  <si>
    <t>Family League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</si>
</sst>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2" formatCode="_(&quot;$&quot;* #,##0_);_(&quot;$&quot;* \(#,##0\);_(&quot;$&quot;* &quot;-&quot;_);_(@_)"/>
    <numFmt numFmtId="43" formatCode="_(* #,##0.00_);_(* \(#,##0.00\);_(* &quot;-&quot;??_);_(@_)"/>
    <numFmt numFmtId="164" formatCode="_(&quot;$&quot;* #,##0_);_(&quot;$&quot;* \(#,##0\);_(&quot;$&quot;* &quot;-&quot;??_);_(@_)"/>
  </numFmts>
  <fonts count="7">
    <font>
      <sz val="10"/>
      <color rgb="FF000000"/>
      <name val="Calibri"/>
    </font>
    <font>
      <b/>
      <sz val="10"/>
      <color rgb="FF000000"/>
      <name val="Calibri"/>
      <family val="2"/>
    </font>
    <font>
      <sz val="8"/>
      <name val="Calibri"/>
      <family val="2"/>
    </font>
    <font>
      <sz val="10"/>
      <color rgb="FF000000"/>
      <name val="Calibri"/>
      <family val="2"/>
    </font>
    <font>
      <sz val="11"/>
      <color rgb="FF000000"/>
      <name val="Calibri"/>
      <family val="2"/>
    </font>
    <font>
      <sz val="12"/>
      <name val="Cambria"/>
      <family val="2"/>
      <scheme val="major"/>
    </font>
    <font>
      <sz val="10"/>
      <color rgb="FF000000"/>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theme="7" tint="0.79998168889431442"/>
      </patternFill>
    </fill>
    <fill>
      <patternFill patternType="solid">
        <fgColor rgb="FFFFFF00"/>
        <bgColor indexed="64"/>
      </patternFill>
    </fill>
  </fills>
  <borders count="3">
    <border>
      <left/>
      <right/>
      <top/>
      <bottom/>
      <diagonal/>
    </border>
    <border>
      <left/>
      <right/>
      <top/>
      <bottom style="thin">
        <color rgb="FF000000"/>
      </bottom>
      <diagonal/>
    </border>
    <border>
      <left/>
      <right/>
      <top style="thin">
        <color theme="7" tint="0.39997558519241921"/>
      </top>
      <bottom style="thin">
        <color theme="7" tint="0.39997558519241921"/>
      </bottom>
      <diagonal/>
    </border>
  </borders>
  <cellStyleXfs count="4">
    <xf numFmtId="0" fontId="0" fillId="0" borderId="0"/>
    <xf numFmtId="0" fontId="4" fillId="0" borderId="0"/>
    <xf numFmtId="43" fontId="4" fillId="0" borderId="0" applyFont="0" applyFill="0" applyBorder="0" applyAlignment="0" applyProtection="0"/>
    <xf numFmtId="43" fontId="6" fillId="0" borderId="0" applyFont="0" applyFill="0" applyBorder="0" applyAlignment="0" applyProtection="0"/>
  </cellStyleXfs>
  <cellXfs count="25">
    <xf numFmtId="0" fontId="0" fillId="0" borderId="0" xfId="0"/>
    <xf numFmtId="0" fontId="1" fillId="0" borderId="1" xfId="0" applyFont="1" applyBorder="1"/>
    <xf numFmtId="42" fontId="0" fillId="0" borderId="0" xfId="0" applyNumberFormat="1"/>
    <xf numFmtId="49" fontId="3" fillId="0" borderId="0" xfId="0" applyNumberFormat="1" applyFont="1"/>
    <xf numFmtId="49" fontId="0" fillId="0" borderId="0" xfId="0" applyNumberFormat="1"/>
    <xf numFmtId="164" fontId="0" fillId="0" borderId="0" xfId="0" applyNumberFormat="1"/>
    <xf numFmtId="164" fontId="1" fillId="0" borderId="1" xfId="0" applyNumberFormat="1" applyFont="1" applyBorder="1"/>
    <xf numFmtId="6" fontId="0" fillId="0" borderId="0" xfId="0" applyNumberFormat="1"/>
    <xf numFmtId="49" fontId="1" fillId="2" borderId="1" xfId="0" applyNumberFormat="1" applyFont="1" applyFill="1" applyBorder="1"/>
    <xf numFmtId="0" fontId="1" fillId="2" borderId="1" xfId="0" applyFont="1" applyFill="1" applyBorder="1"/>
    <xf numFmtId="0" fontId="0" fillId="0" borderId="0" xfId="0" applyFill="1"/>
    <xf numFmtId="164" fontId="0" fillId="0" borderId="0" xfId="0" applyNumberFormat="1" applyFill="1"/>
    <xf numFmtId="42" fontId="0" fillId="0" borderId="0" xfId="0" applyNumberFormat="1" applyFill="1"/>
    <xf numFmtId="49" fontId="3" fillId="0" borderId="0" xfId="0" applyNumberFormat="1" applyFont="1" applyFill="1"/>
    <xf numFmtId="49" fontId="0" fillId="0" borderId="0" xfId="0" applyNumberFormat="1" applyFill="1"/>
    <xf numFmtId="0" fontId="5" fillId="3" borderId="2" xfId="1" applyFont="1" applyFill="1" applyBorder="1"/>
    <xf numFmtId="0" fontId="5" fillId="0" borderId="2" xfId="1" applyFont="1" applyBorder="1"/>
    <xf numFmtId="0" fontId="5" fillId="3" borderId="2" xfId="0" applyFont="1" applyFill="1" applyBorder="1"/>
    <xf numFmtId="3" fontId="5" fillId="3" borderId="2" xfId="0" applyNumberFormat="1" applyFont="1" applyFill="1" applyBorder="1"/>
    <xf numFmtId="3" fontId="5" fillId="0" borderId="2" xfId="0" applyNumberFormat="1" applyFont="1" applyBorder="1"/>
    <xf numFmtId="3" fontId="0" fillId="0" borderId="0" xfId="0" applyNumberFormat="1"/>
    <xf numFmtId="43" fontId="3" fillId="0" borderId="0" xfId="3" applyFont="1"/>
    <xf numFmtId="42" fontId="0" fillId="4" borderId="0" xfId="0" applyNumberFormat="1" applyFill="1"/>
    <xf numFmtId="164" fontId="1" fillId="4" borderId="1" xfId="0" applyNumberFormat="1" applyFont="1" applyFill="1" applyBorder="1"/>
    <xf numFmtId="164" fontId="0" fillId="4" borderId="0" xfId="0" applyNumberFormat="1" applyFill="1"/>
  </cellXfs>
  <cellStyles count="4">
    <cellStyle name="Comma" xfId="3" builtinId="3"/>
    <cellStyle name="Comma 2" xfId="2" xr:uid="{08D697F5-CDE9-405F-8DED-97BB9BA07DCA}"/>
    <cellStyle name="Normal" xfId="0" builtinId="0"/>
    <cellStyle name="Normal 2" xfId="1" xr:uid="{3D82FD17-A823-4C9B-A30D-FE465D120F8E}"/>
  </cellStyles>
  <dxfs count="22">
    <dxf>
      <numFmt numFmtId="32" formatCode="_(&quot;$&quot;* #,##0_);_(&quot;$&quot;* \(#,##0\);_(&quot;$&quot;* &quot;-&quot;_);_(@_)"/>
    </dxf>
    <dxf>
      <numFmt numFmtId="32" formatCode="_(&quot;$&quot;* #,##0_);_(&quot;$&quot;* \(#,##0\);_(&quot;$&quot;* &quot;-&quot;_);_(@_)"/>
    </dxf>
    <dxf>
      <numFmt numFmtId="32" formatCode="_(&quot;$&quot;* #,##0_);_(&quot;$&quot;* \(#,##0\);_(&quot;$&quot;* &quot;-&quot;_);_(@_)"/>
    </dxf>
    <dxf>
      <numFmt numFmtId="30" formatCode="@"/>
    </dxf>
    <dxf>
      <numFmt numFmtId="30" formatCode="@"/>
    </dxf>
    <dxf>
      <numFmt numFmtId="32" formatCode="_(&quot;$&quot;* #,##0_);_(&quot;$&quot;* \(#,##0\);_(&quot;$&quot;* &quot;-&quot;_);_(@_)"/>
    </dxf>
    <dxf>
      <numFmt numFmtId="30" formatCode="@"/>
    </dxf>
    <dxf>
      <numFmt numFmtId="30" formatCode="@"/>
    </dxf>
    <dxf>
      <numFmt numFmtId="32" formatCode="_(&quot;$&quot;* #,##0_);_(&quot;$&quot;* \(#,##0\);_(&quot;$&quot;* &quot;-&quot;_);_(@_)"/>
    </dxf>
    <dxf>
      <numFmt numFmtId="30" formatCode="@"/>
    </dxf>
    <dxf>
      <numFmt numFmtId="30" formatCode="@"/>
    </dxf>
    <dxf>
      <numFmt numFmtId="30" formatCode="@"/>
    </dxf>
    <dxf>
      <numFmt numFmtId="30" formatCode="@"/>
    </dxf>
    <dxf>
      <numFmt numFmtId="32" formatCode="_(&quot;$&quot;* #,##0_);_(&quot;$&quot;* \(#,##0\);_(&quot;$&quot;* &quot;-&quot;_);_(@_)"/>
    </dxf>
    <dxf>
      <numFmt numFmtId="30" formatCode="@"/>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quot;$&quot;* #,##0_);_(&quot;$&quot;* \(#,##0\);_(&quot;$&quot;* &quot;-&quot;??_);_(@_)"/>
      <fill>
        <patternFill patternType="solid">
          <fgColor indexed="64"/>
          <bgColor rgb="FFFFFF00"/>
        </patternFill>
      </fill>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amer, Jaime  (DOF)" id="{E78E967F-5079-4883-8B72-89CCA7AED4DD}" userId="S::jaime.cramer@baltimorecity.gov::94c4f54a-914e-45d6-8935-358eb75265a3" providerId="AD"/>
  <person displayName="Brumfield, Sara (DOF)" id="{565DCB11-EA67-4CB7-A3E1-2E9DB85864F4}" userId="S::Sara.Brumfield2@baltimorecity.gov::c5cfd848-4395-4fdc-b5b9-c9159bc9a516" providerId="AD"/>
  <person displayName="Brumfield, Sara (DOF)" id="{8E6262E6-426C-40ED-BA97-DD583ADE15F3}" userId="S::sara.brumfield2@baltimorecity.gov::c5cfd848-4395-4fdc-b5b9-c9159bc9a51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Y56" totalsRowShown="0">
  <autoFilter ref="A1:Y56" xr:uid="{00000000-0009-0000-0100-000003000000}"/>
  <tableColumns count="25">
    <tableColumn id="1" xr3:uid="{00000000-0010-0000-0000-000001000000}" name="Agency Name"/>
    <tableColumn id="2" xr3:uid="{00000000-0010-0000-0000-000002000000}" name="FY22 Adopted" dataDxfId="21"/>
    <tableColumn id="3" xr3:uid="{00000000-0010-0000-0000-000003000000}" name="FY23 CLS" dataDxfId="20"/>
    <tableColumn id="4" xr3:uid="{00000000-0010-0000-0000-000004000000}" name="FY23 TLS" dataDxfId="19"/>
    <tableColumn id="23" xr3:uid="{882EAD23-3FF6-4C37-BDA8-6A7D67678CD7}" name="FY23 TLS for Memos" dataDxfId="18">
      <calculatedColumnFormula>SUM(D2,J2,M2,O2,R2,U2,W2)</calculatedColumnFormula>
    </tableColumn>
    <tableColumn id="5" xr3:uid="{00000000-0010-0000-0000-000005000000}" name="FY23 CLS to FY23 TLS Change" dataDxfId="17">
      <calculatedColumnFormula>Table3[[#This Row],[FY23 TLS]]-Table3[[#This Row],[FY23 CLS]]</calculatedColumnFormula>
    </tableColumn>
    <tableColumn id="6" xr3:uid="{00000000-0010-0000-0000-000006000000}" name="DGS Rent Reallocation" dataDxfId="16"/>
    <tableColumn id="7" xr3:uid="{00000000-0010-0000-0000-000007000000}" name="Workers' Compensation Update" dataDxfId="15"/>
    <tableColumn id="19" xr3:uid="{6E641C4E-40F5-4B11-9A72-B466E3614553}" name="Enhancement" dataDxfId="14"/>
    <tableColumn id="18" xr3:uid="{462C2AB6-AF65-42F1-9607-388557DAEFC7}" name="Enhancement Amount" dataDxfId="13"/>
    <tableColumn id="20" xr3:uid="{C4C1C50A-0C6F-4CEF-88B3-CFDE3D06698C}" name="Enhancement Description" dataDxfId="12"/>
    <tableColumn id="22" xr3:uid="{986D67AC-7FAF-44AB-9697-B5B45F87CF01}" name="Enhancement2" dataDxfId="11"/>
    <tableColumn id="21" xr3:uid="{271E75CF-1D2F-4D2B-AAD6-8ECBFB9F2DB6}" name="Enhancement Amount2" dataDxfId="10"/>
    <tableColumn id="17" xr3:uid="{9A023B51-CA1D-4FA9-9B97-7A9BDFC19141}" name="Enhancement Description2" dataDxfId="9"/>
    <tableColumn id="8" xr3:uid="{00000000-0010-0000-0000-000008000000}" name="Other Adjustments 1" dataDxfId="8"/>
    <tableColumn id="9" xr3:uid="{00000000-0010-0000-0000-000009000000}" name="Adjustment Type 1" dataDxfId="7"/>
    <tableColumn id="24" xr3:uid="{5ECA9618-C868-420A-979B-CC72AD8F9D9F}" name="Adjustment Name" dataDxfId="6"/>
    <tableColumn id="16" xr3:uid="{D605FE07-8DC1-44AA-BDD5-5D1E10C12E36}" name="Other Adjustments 2" dataDxfId="5"/>
    <tableColumn id="15" xr3:uid="{86D159F3-55BA-4D06-81B2-DF6F676FC332}" name="Adjustment Type 2" dataDxfId="4"/>
    <tableColumn id="25" xr3:uid="{89C659EA-867A-4396-A140-4728AA4495DD}" name="Adjustment Name 2" dataDxfId="3"/>
    <tableColumn id="14" xr3:uid="{98FF52D2-B913-4A87-A072-F7D14D8B7B09}" name="Other Adjustments 3" dataDxfId="2"/>
    <tableColumn id="13" xr3:uid="{F5A0B789-8C77-4015-8E99-766BA3A536B2}" name="Adjustment Type 3" dataDxfId="1"/>
    <tableColumn id="10" xr3:uid="{00000000-0010-0000-0000-00000A000000}" name="Other Global Adjustments" dataDxfId="0"/>
    <tableColumn id="11" xr3:uid="{00000000-0010-0000-0000-00000B000000}" name="Other Global Adjustments Type"/>
    <tableColumn id="12" xr3:uid="{00000000-0010-0000-0000-00000C000000}" name="COVID CARES or FEMA Funding"/>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2-03-02T13:07:25.99" personId="{565DCB11-EA67-4CB7-A3E1-2E9DB85864F4}" id="{3F3B94B7-0A9B-43B5-92AB-2715A32F373D}">
    <text>From BPFS</text>
  </threadedComment>
  <threadedComment ref="C1" dT="2022-03-02T13:07:12.26" personId="{565DCB11-EA67-4CB7-A3E1-2E9DB85864F4}" id="{9287C9D8-8D10-4AE3-A2BF-79988B7ABCC4}">
    <text>From BPFS</text>
  </threadedComment>
  <threadedComment ref="D1" dT="2022-03-02T13:07:19.52" personId="{565DCB11-EA67-4CB7-A3E1-2E9DB85864F4}" id="{1A82BFF1-7DF1-444C-A75A-7A7737C5C5E1}">
    <text>From Results Teams</text>
  </threadedComment>
  <threadedComment ref="E1" dT="2022-03-03T14:52:40.48" personId="{8E6262E6-426C-40ED-BA97-DD583ADE15F3}" id="{CB25BE5F-37F9-4685-B501-53F9F7F9D1D6}">
    <text>this is what goes in the memos for TLS</text>
  </threadedComment>
  <threadedComment ref="G1" dT="2022-03-02T13:07:32.67" personId="{565DCB11-EA67-4CB7-A3E1-2E9DB85864F4}" id="{0E6045D8-1DC4-4985-90AF-1708E565F867}">
    <text>From FY22</text>
  </threadedComment>
  <threadedComment ref="H1" dT="2022-03-02T14:36:06.45" personId="{565DCB11-EA67-4CB7-A3E1-2E9DB85864F4}" id="{3C0881C9-4620-4E13-93F8-B8AB3F5E42FF}">
    <text>From FY22</text>
  </threadedComment>
  <threadedComment ref="I1" dT="2022-03-02T14:51:48.32" personId="{565DCB11-EA67-4CB7-A3E1-2E9DB85864F4}" id="{CE86835D-6CC1-4E90-8C66-7E97E3A20D6D}">
    <text>Enhancements and adjustments already in TLS. Do not add to TLS.</text>
  </threadedComment>
  <threadedComment ref="L1" dT="2022-03-02T14:51:48.32" personId="{565DCB11-EA67-4CB7-A3E1-2E9DB85864F4}" id="{CE86835D-6CC1-4E91-8C66-7E97E3A20D6D}">
    <text>Enhancements and adjustments already in TLS. Do not add to TLS.</text>
  </threadedComment>
  <threadedComment ref="A4" dT="2022-03-02T14:59:14.70" personId="{565DCB11-EA67-4CB7-A3E1-2E9DB85864F4}" id="{15B4C74D-42CF-42FB-BDB1-C285ECDCEEDA}">
    <text>ISF</text>
  </threadedComment>
  <threadedComment ref="D4" dT="2022-03-02T16:13:46.66" personId="{565DCB11-EA67-4CB7-A3E1-2E9DB85864F4}" id="{96BA7FF1-A37B-430F-8468-A32DD45C6F3A}">
    <text>ISF removed</text>
  </threadedComment>
  <threadedComment ref="A9" dT="2022-03-02T16:13:31.89" personId="{565DCB11-EA67-4CB7-A3E1-2E9DB85864F4}" id="{9673DB5C-39FF-4DB1-886C-3D93C88CF1E0}">
    <text>ISF</text>
  </threadedComment>
  <threadedComment ref="D9" dT="2022-03-02T16:13:40.77" personId="{565DCB11-EA67-4CB7-A3E1-2E9DB85864F4}" id="{302DDA77-030B-402F-8582-5C9B0E68C504}">
    <text>ISF removed</text>
  </threadedComment>
  <threadedComment ref="A10" dT="2022-03-02T14:59:22.42" personId="{565DCB11-EA67-4CB7-A3E1-2E9DB85864F4}" id="{B9B9A0DF-0988-4855-9B88-29E4CA5DB0AF}">
    <text>ISF</text>
  </threadedComment>
  <threadedComment ref="D10" dT="2022-03-02T14:08:31.17" personId="{565DCB11-EA67-4CB7-A3E1-2E9DB85864F4}" id="{DA67C27D-F58F-4A49-941C-97D417F15D6E}">
    <text>Adjusted</text>
  </threadedComment>
  <threadedComment ref="A11" dT="2022-03-02T14:59:30.88" personId="{565DCB11-EA67-4CB7-A3E1-2E9DB85864F4}" id="{926E587B-A529-4A90-B2F3-0854D3BE2A18}">
    <text>ISF</text>
  </threadedComment>
  <threadedComment ref="D11" dT="2022-03-02T16:15:10.98" personId="{565DCB11-EA67-4CB7-A3E1-2E9DB85864F4}" id="{E7EFCFEF-67AF-4701-8DB5-9D76E4FABBC4}">
    <text>ISF removed</text>
  </threadedComment>
  <threadedComment ref="C13" dT="2022-03-03T13:26:30.23" personId="{8E6262E6-426C-40ED-BA97-DD583ADE15F3}" id="{1798D7A8-9732-471B-9447-A7BA149318F2}">
    <text>CLS from Result Teams not BPFS</text>
  </threadedComment>
  <threadedComment ref="D13" dT="2022-03-02T15:15:25.97" personId="{565DCB11-EA67-4CB7-A3E1-2E9DB85864F4}" id="{BC5BB0ED-E858-46B9-B5A5-1F8DEB70DED3}">
    <text>Adjusted for 752 change.</text>
  </threadedComment>
  <threadedComment ref="A17" dT="2022-03-02T14:59:39.70" personId="{565DCB11-EA67-4CB7-A3E1-2E9DB85864F4}" id="{126BC2E6-5376-47EB-B369-7AE75EF01EC1}">
    <text>ISF</text>
  </threadedComment>
  <threadedComment ref="D17" dT="2022-03-02T16:17:49.53" personId="{565DCB11-EA67-4CB7-A3E1-2E9DB85864F4}" id="{91B27B77-86AF-402E-B192-9C29C63C4E8F}">
    <text>ISF removed</text>
  </threadedComment>
  <threadedComment ref="A18" dT="2022-03-02T14:59:48.63" personId="{565DCB11-EA67-4CB7-A3E1-2E9DB85864F4}" id="{9F73ECB0-BCFB-45F2-9E18-9A247E3DE15E}">
    <text>ISF</text>
  </threadedComment>
  <threadedComment ref="D18" dT="2022-03-02T16:18:26.25" personId="{565DCB11-EA67-4CB7-A3E1-2E9DB85864F4}" id="{BA71ACED-B90E-4BF5-B44F-73B010277776}">
    <text>ISF removed</text>
  </threadedComment>
  <threadedComment ref="C34" dT="2022-03-03T13:26:59.23" personId="{8E6262E6-426C-40ED-BA97-DD583ADE15F3}" id="{3864178A-02C0-40A2-900A-D52105C01A3E}">
    <text>CLS from Result Teams not BPFS</text>
  </threadedComment>
  <threadedComment ref="C40" dT="2022-03-03T13:27:12.51" personId="{8E6262E6-426C-40ED-BA97-DD583ADE15F3}" id="{27A66E6E-5A1D-4E38-B085-E58990DB7B9C}">
    <text>CLS from Result Teams not BPFS</text>
  </threadedComment>
  <threadedComment ref="C41" dT="2022-03-03T13:28:45.78" personId="{8E6262E6-426C-40ED-BA97-DD583ADE15F3}" id="{3C21E93A-8720-4F15-987E-6262EFB1AC28}">
    <text>CLS from Result Teams not BPFS</text>
  </threadedComment>
  <threadedComment ref="A43" dT="2022-03-02T14:59:57.43" personId="{565DCB11-EA67-4CB7-A3E1-2E9DB85864F4}" id="{85E23657-C61D-4C0C-8D85-B0E805925DA3}">
    <text>ISF</text>
  </threadedComment>
  <threadedComment ref="D43" dT="2022-03-02T16:48:34.56" personId="{565DCB11-EA67-4CB7-A3E1-2E9DB85864F4}" id="{59AE45BA-CD67-461C-B73B-FF72FA583994}">
    <text>ISF removed</text>
  </threadedComment>
  <threadedComment ref="C47" dT="2022-03-03T13:26:49.22" personId="{8E6262E6-426C-40ED-BA97-DD583ADE15F3}" id="{3EB7F8A2-21F5-4066-87CE-C15C97BF0E75}">
    <text>CLS from Result Teams not BPFS</text>
  </threadedComment>
  <threadedComment ref="C50" dT="2022-03-03T13:27:23.48" personId="{8E6262E6-426C-40ED-BA97-DD583ADE15F3}" id="{73AAD131-4087-4497-9553-DB02529CC4BD}">
    <text>CLS from Result Teams not BPFS</text>
  </threadedComment>
  <threadedComment ref="D51" dT="2022-03-02T14:05:43.01" personId="{565DCB11-EA67-4CB7-A3E1-2E9DB85864F4}" id="{2B7BEB8B-DD27-4205-B4D1-410772339352}">
    <text>Adjusted.</text>
  </threadedComment>
  <threadedComment ref="D51" dT="2022-03-03T16:33:08.45" personId="{E78E967F-5079-4883-8B72-89CCA7AED4DD}" id="{36AAEABC-59C7-4E28-8F84-DF70F4E9FDAD}" parentId="{2B7BEB8B-DD27-4205-B4D1-410772339352}">
    <text>Added back the RT recommendation to reduce Patrol by $10M ($10m from ($533,657,401+10M=$542,370,111). The Mayor's recommendation to reduce patrol by $4m is in column O-Adjustments.</text>
  </threadedComment>
  <threadedComment ref="D51" dT="2022-03-03T16:38:49.65" personId="{8E6262E6-426C-40ED-BA97-DD583ADE15F3}" id="{0908F82F-B94C-4DD6-95DC-63FE8AC3DE52}" parentId="{2B7BEB8B-DD27-4205-B4D1-410772339352}">
    <text>got it.</text>
  </threadedComment>
  <threadedComment ref="C53" dT="2022-03-03T13:27:33.17" personId="{8E6262E6-426C-40ED-BA97-DD583ADE15F3}" id="{8CE59F65-97DC-4AC3-AE06-4E22DE82A1A7}">
    <text>CLS from Result Teams not BPFS</text>
  </threadedComment>
  <threadedComment ref="E53" dT="2022-03-03T13:24:29.42" personId="{8E6262E6-426C-40ED-BA97-DD583ADE15F3}" id="{2E998ED3-F6AD-4B1E-9BE2-52DF05F7BD84}">
    <text>This will have to be adjusted manually in the memo since Rec and Parks is different from the others. Don't change the value here because it will change all values in the column for other agencies too.</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6"/>
  <sheetViews>
    <sheetView tabSelected="1" workbookViewId="0">
      <pane ySplit="1" topLeftCell="A2" activePane="bottomLeft" state="frozen"/>
      <selection pane="bottomLeft" activeCell="D11" sqref="D11"/>
    </sheetView>
  </sheetViews>
  <sheetFormatPr defaultColWidth="11.42578125" defaultRowHeight="12.75"/>
  <cols>
    <col min="1" max="1" width="42.7109375" bestFit="1" customWidth="1"/>
    <col min="2" max="2" width="15.7109375" style="5" bestFit="1" customWidth="1"/>
    <col min="3" max="3" width="13.140625" style="5" bestFit="1" customWidth="1"/>
    <col min="4" max="4" width="15.140625" style="5" customWidth="1"/>
    <col min="5" max="5" width="21.7109375" style="24" customWidth="1"/>
    <col min="6" max="6" width="26.28515625" bestFit="1" customWidth="1"/>
    <col min="7" max="7" width="20.7109375" bestFit="1" customWidth="1"/>
    <col min="8" max="8" width="28.85546875" bestFit="1" customWidth="1"/>
    <col min="9" max="9" width="25.140625" style="4" bestFit="1" customWidth="1"/>
    <col min="10" max="10" width="21.140625" bestFit="1" customWidth="1"/>
    <col min="11" max="11" width="73" style="4" bestFit="1" customWidth="1"/>
    <col min="12" max="12" width="30.42578125" style="4" bestFit="1" customWidth="1"/>
    <col min="13" max="13" width="22.140625" style="4" bestFit="1" customWidth="1"/>
    <col min="14" max="14" width="28.42578125" style="4" bestFit="1" customWidth="1"/>
    <col min="15" max="15" width="20.140625" bestFit="1" customWidth="1"/>
    <col min="16" max="16" width="20.28515625" style="4" bestFit="1" customWidth="1"/>
    <col min="17" max="17" width="20.28515625" style="4" customWidth="1"/>
    <col min="18" max="18" width="20.140625" bestFit="1" customWidth="1"/>
    <col min="19" max="19" width="19.5703125" style="4" bestFit="1" customWidth="1"/>
    <col min="20" max="20" width="19.5703125" style="4" customWidth="1"/>
    <col min="21" max="21" width="20.140625" hidden="1" customWidth="1"/>
    <col min="22" max="22" width="18.28515625" hidden="1" customWidth="1"/>
    <col min="23" max="23" width="24.140625" hidden="1" customWidth="1"/>
    <col min="24" max="24" width="75.42578125" bestFit="1" customWidth="1"/>
    <col min="25" max="25" width="27.5703125" bestFit="1" customWidth="1"/>
  </cols>
  <sheetData>
    <row r="1" spans="1:25">
      <c r="A1" s="1" t="s">
        <v>0</v>
      </c>
      <c r="B1" s="6" t="s">
        <v>1</v>
      </c>
      <c r="C1" s="6" t="s">
        <v>2</v>
      </c>
      <c r="D1" s="6" t="s">
        <v>3</v>
      </c>
      <c r="E1" s="23" t="s">
        <v>4</v>
      </c>
      <c r="F1" s="1" t="s">
        <v>5</v>
      </c>
      <c r="G1" s="1" t="s">
        <v>6</v>
      </c>
      <c r="H1" s="1" t="s">
        <v>7</v>
      </c>
      <c r="I1" s="8" t="s">
        <v>8</v>
      </c>
      <c r="J1" s="9" t="s">
        <v>9</v>
      </c>
      <c r="K1" s="8" t="s">
        <v>10</v>
      </c>
      <c r="L1" s="8" t="s">
        <v>11</v>
      </c>
      <c r="M1" s="9" t="s">
        <v>12</v>
      </c>
      <c r="N1" s="8" t="s">
        <v>13</v>
      </c>
      <c r="O1" s="9" t="s">
        <v>14</v>
      </c>
      <c r="P1" s="8" t="s">
        <v>15</v>
      </c>
      <c r="Q1" s="8" t="s">
        <v>16</v>
      </c>
      <c r="R1" s="9" t="s">
        <v>17</v>
      </c>
      <c r="S1" s="8" t="s">
        <v>18</v>
      </c>
      <c r="T1" s="8" t="s">
        <v>19</v>
      </c>
      <c r="U1" s="9" t="s">
        <v>20</v>
      </c>
      <c r="V1" s="9" t="s">
        <v>21</v>
      </c>
      <c r="W1" s="9" t="s">
        <v>22</v>
      </c>
      <c r="X1" s="9" t="s">
        <v>23</v>
      </c>
      <c r="Y1" s="9" t="s">
        <v>24</v>
      </c>
    </row>
    <row r="2" spans="1:25">
      <c r="A2" t="s">
        <v>25</v>
      </c>
      <c r="B2" s="5">
        <v>7095321</v>
      </c>
      <c r="C2" s="5">
        <v>7332680</v>
      </c>
      <c r="D2" s="5">
        <v>7112346</v>
      </c>
      <c r="E2" s="24">
        <f>SUM(D2,J2,M2,O2,R2,U2,W2)</f>
        <v>7112346</v>
      </c>
      <c r="F2" s="2">
        <f>Table3[[#This Row],[FY23 TLS]]-Table3[[#This Row],[FY23 CLS]]</f>
        <v>-220334</v>
      </c>
      <c r="G2" s="2">
        <v>-3923</v>
      </c>
      <c r="H2" s="2">
        <v>2084</v>
      </c>
      <c r="I2" s="3"/>
      <c r="J2" s="2"/>
      <c r="O2" s="2"/>
      <c r="R2" s="2"/>
      <c r="U2" s="2"/>
      <c r="V2" s="2"/>
      <c r="W2" s="2"/>
      <c r="X2" t="s">
        <v>26</v>
      </c>
    </row>
    <row r="3" spans="1:25">
      <c r="A3" t="s">
        <v>27</v>
      </c>
      <c r="B3" s="5">
        <v>8593872</v>
      </c>
      <c r="C3" s="5">
        <v>9012041</v>
      </c>
      <c r="D3" s="5">
        <v>9033145</v>
      </c>
      <c r="E3" s="24">
        <f>SUM(D3,J3,M3,O3,R3,U3,W3)</f>
        <v>9033145</v>
      </c>
      <c r="F3" s="2">
        <f>Table3[[#This Row],[FY23 TLS]]-Table3[[#This Row],[FY23 CLS]]</f>
        <v>21104</v>
      </c>
      <c r="G3" s="2">
        <v>-35577</v>
      </c>
      <c r="H3" s="2">
        <v>34621</v>
      </c>
      <c r="J3" s="2"/>
      <c r="O3" s="2"/>
      <c r="R3" s="2"/>
      <c r="U3" s="2"/>
      <c r="V3" s="2"/>
      <c r="W3" s="2"/>
      <c r="X3" t="s">
        <v>26</v>
      </c>
    </row>
    <row r="4" spans="1:25">
      <c r="A4" s="10" t="s">
        <v>28</v>
      </c>
      <c r="B4" s="11">
        <v>7866476</v>
      </c>
      <c r="C4" s="11">
        <v>8536949</v>
      </c>
      <c r="D4" s="11">
        <f>21511315-9095102-3879264</f>
        <v>8536949</v>
      </c>
      <c r="E4" s="24">
        <f>SUM(D4,J4,M4,O4,R4,U4,W4)</f>
        <v>8536949</v>
      </c>
      <c r="F4" s="12">
        <f>Table3[[#This Row],[FY23 TLS]]-Table3[[#This Row],[FY23 CLS]]</f>
        <v>0</v>
      </c>
      <c r="G4" s="12">
        <v>839</v>
      </c>
      <c r="H4" s="12">
        <v>28372</v>
      </c>
      <c r="I4" s="14"/>
      <c r="J4" s="12"/>
      <c r="K4" s="14"/>
      <c r="L4" s="14"/>
      <c r="M4" s="14"/>
      <c r="N4" s="14"/>
      <c r="O4" s="12"/>
      <c r="P4" s="14"/>
      <c r="Q4" s="14"/>
      <c r="R4" s="12"/>
      <c r="S4" s="14"/>
      <c r="T4" s="14"/>
      <c r="U4" s="12"/>
      <c r="V4" s="12"/>
      <c r="W4" s="12"/>
      <c r="X4" s="10" t="s">
        <v>26</v>
      </c>
      <c r="Y4" s="10"/>
    </row>
    <row r="5" spans="1:25">
      <c r="A5" t="s">
        <v>29</v>
      </c>
      <c r="B5" s="5">
        <v>798867</v>
      </c>
      <c r="C5" s="5">
        <v>831123</v>
      </c>
      <c r="D5" s="5">
        <v>832930</v>
      </c>
      <c r="E5" s="24">
        <f>SUM(D5,J5,M5,O5,R5,U5,W5)</f>
        <v>832930</v>
      </c>
      <c r="F5" s="2">
        <f>Table3[[#This Row],[FY23 TLS]]-Table3[[#This Row],[FY23 CLS]]</f>
        <v>1807</v>
      </c>
      <c r="G5" s="2">
        <v>0</v>
      </c>
      <c r="H5" s="2">
        <v>2501</v>
      </c>
      <c r="J5" s="2"/>
      <c r="O5" s="2"/>
      <c r="R5" s="2"/>
      <c r="U5" s="2"/>
      <c r="V5" s="2"/>
      <c r="W5" s="2"/>
      <c r="X5" t="s">
        <v>26</v>
      </c>
    </row>
    <row r="6" spans="1:25">
      <c r="A6" t="s">
        <v>30</v>
      </c>
      <c r="B6" s="5">
        <v>17667259</v>
      </c>
      <c r="C6" s="5">
        <v>18288874</v>
      </c>
      <c r="D6" s="5">
        <v>18422630</v>
      </c>
      <c r="E6" s="24">
        <f>SUM(D6,J6,M6,O6,R6,U6,W6)</f>
        <v>18422630</v>
      </c>
      <c r="F6" s="2">
        <f>Table3[[#This Row],[FY23 TLS]]-Table3[[#This Row],[FY23 CLS]]</f>
        <v>133756</v>
      </c>
      <c r="G6" s="2">
        <v>-931309</v>
      </c>
      <c r="H6" s="2">
        <v>35842</v>
      </c>
      <c r="J6" s="2"/>
      <c r="O6" s="2"/>
      <c r="R6" s="2"/>
      <c r="U6" s="2"/>
      <c r="V6" s="2"/>
      <c r="W6" s="2"/>
      <c r="X6" t="s">
        <v>26</v>
      </c>
    </row>
    <row r="7" spans="1:25">
      <c r="A7" t="s">
        <v>31</v>
      </c>
      <c r="B7" s="5">
        <v>694393</v>
      </c>
      <c r="C7" s="5">
        <v>681071</v>
      </c>
      <c r="D7" s="5">
        <v>681223</v>
      </c>
      <c r="E7" s="24">
        <f>SUM(D7,J7,M7,O7,R7,U7,W7)</f>
        <v>681223</v>
      </c>
      <c r="F7" s="2">
        <f>Table3[[#This Row],[FY23 TLS]]-Table3[[#This Row],[FY23 CLS]]</f>
        <v>152</v>
      </c>
      <c r="G7" s="2">
        <v>0</v>
      </c>
      <c r="H7" s="2">
        <v>2084</v>
      </c>
      <c r="J7" s="2"/>
      <c r="O7" s="2"/>
      <c r="R7" s="2"/>
      <c r="U7" s="2"/>
      <c r="V7" s="2"/>
      <c r="W7" s="2"/>
      <c r="X7" t="s">
        <v>26</v>
      </c>
    </row>
    <row r="8" spans="1:25">
      <c r="A8" t="s">
        <v>32</v>
      </c>
      <c r="B8" s="5">
        <v>28481175</v>
      </c>
      <c r="C8" s="5">
        <v>29416738</v>
      </c>
      <c r="D8" s="5">
        <f>Table3[[#This Row],[FY23 CLS]]</f>
        <v>29416738</v>
      </c>
      <c r="E8" s="24">
        <f>SUM(D8,J8,M8,O8,R8,U8,W8)</f>
        <v>29416738</v>
      </c>
      <c r="F8" s="2">
        <f>Table3[[#This Row],[FY23 TLS]]-Table3[[#This Row],[FY23 CLS]]</f>
        <v>0</v>
      </c>
      <c r="G8" s="2">
        <v>0</v>
      </c>
      <c r="H8" s="2">
        <v>145873</v>
      </c>
      <c r="J8" s="2"/>
      <c r="O8" s="2"/>
      <c r="R8" s="2"/>
      <c r="U8" s="2"/>
      <c r="V8" s="2"/>
      <c r="W8" s="2"/>
      <c r="X8" t="s">
        <v>26</v>
      </c>
    </row>
    <row r="9" spans="1:25">
      <c r="A9" s="10" t="s">
        <v>33</v>
      </c>
      <c r="B9" s="11">
        <v>28201853</v>
      </c>
      <c r="C9" s="11">
        <v>29686371</v>
      </c>
      <c r="D9" s="11">
        <f>37607385-214914-3808729-4423963</f>
        <v>29159779</v>
      </c>
      <c r="E9" s="24">
        <f>SUM(D9,J9,M9,O9,R9,U9,W9)</f>
        <v>29284779</v>
      </c>
      <c r="F9" s="12">
        <f>Table3[[#This Row],[FY23 TLS for Memos]]-Table3[[#This Row],[FY23 CLS]]</f>
        <v>-401592</v>
      </c>
      <c r="G9" s="12">
        <v>-49670</v>
      </c>
      <c r="H9" s="12">
        <v>81700</v>
      </c>
      <c r="I9" s="13" t="s">
        <v>8</v>
      </c>
      <c r="J9" s="12">
        <v>125000</v>
      </c>
      <c r="K9" s="13" t="s">
        <v>34</v>
      </c>
      <c r="L9" s="13"/>
      <c r="M9" s="13"/>
      <c r="N9" s="13"/>
      <c r="O9" s="12"/>
      <c r="P9" s="14"/>
      <c r="Q9" s="14"/>
      <c r="R9" s="12"/>
      <c r="S9" s="14"/>
      <c r="T9" s="14"/>
      <c r="U9" s="12"/>
      <c r="V9" s="12"/>
      <c r="W9" s="12"/>
      <c r="X9" s="10" t="s">
        <v>26</v>
      </c>
      <c r="Y9" s="10"/>
    </row>
    <row r="10" spans="1:25">
      <c r="A10" t="s">
        <v>35</v>
      </c>
      <c r="B10" s="5">
        <v>256786833</v>
      </c>
      <c r="C10" s="5">
        <v>269438322</v>
      </c>
      <c r="D10" s="5">
        <f>Table3[[#This Row],[FY23 CLS]]+5000000-40000000</f>
        <v>234438322</v>
      </c>
      <c r="E10" s="24">
        <f>D10</f>
        <v>234438322</v>
      </c>
      <c r="F10" s="12">
        <f>Table3[[#This Row],[FY23 TLS for Memos]]-Table3[[#This Row],[FY23 CLS]]</f>
        <v>-35000000</v>
      </c>
      <c r="G10" s="2">
        <v>-11764</v>
      </c>
      <c r="H10" s="2">
        <v>2621589</v>
      </c>
      <c r="I10" s="13" t="s">
        <v>8</v>
      </c>
      <c r="J10" s="2">
        <v>456770</v>
      </c>
      <c r="K10" s="3" t="s">
        <v>36</v>
      </c>
      <c r="L10" s="3"/>
      <c r="M10" s="3"/>
      <c r="N10" s="3"/>
      <c r="O10" s="2">
        <v>40000000</v>
      </c>
      <c r="P10" s="4" t="s">
        <v>37</v>
      </c>
      <c r="Q10" s="3" t="s">
        <v>38</v>
      </c>
      <c r="R10" s="7">
        <v>5000000</v>
      </c>
      <c r="S10" s="4" t="s">
        <v>39</v>
      </c>
      <c r="T10" s="3" t="s">
        <v>38</v>
      </c>
      <c r="U10" s="2"/>
      <c r="V10" s="2"/>
      <c r="W10" s="2"/>
      <c r="X10" t="s">
        <v>26</v>
      </c>
    </row>
    <row r="11" spans="1:25">
      <c r="A11" t="s">
        <v>40</v>
      </c>
      <c r="B11" s="5">
        <v>13066992</v>
      </c>
      <c r="C11" s="5">
        <v>13047544</v>
      </c>
      <c r="D11" s="5">
        <f>113326037.97-39876765-70417714</f>
        <v>3031558.9699999988</v>
      </c>
      <c r="E11" s="24">
        <f>C11+180085</f>
        <v>13227629</v>
      </c>
      <c r="F11" s="12">
        <f>Table3[[#This Row],[FY23 TLS for Memos]]-Table3[[#This Row],[FY23 CLS]]</f>
        <v>180085</v>
      </c>
      <c r="G11" s="2">
        <v>1214902</v>
      </c>
      <c r="H11" s="2">
        <v>18779</v>
      </c>
      <c r="I11" s="13" t="s">
        <v>41</v>
      </c>
      <c r="J11" s="2">
        <f>85000</f>
        <v>85000</v>
      </c>
      <c r="K11" s="3" t="s">
        <v>42</v>
      </c>
      <c r="L11" s="3" t="s">
        <v>43</v>
      </c>
      <c r="M11" s="21" t="s">
        <v>44</v>
      </c>
      <c r="N11" s="3" t="s">
        <v>45</v>
      </c>
      <c r="O11" s="2"/>
      <c r="R11" s="2"/>
      <c r="U11" s="2"/>
      <c r="V11" s="2"/>
      <c r="W11" s="2"/>
      <c r="X11" t="s">
        <v>26</v>
      </c>
    </row>
    <row r="12" spans="1:25">
      <c r="A12" t="s">
        <v>46</v>
      </c>
      <c r="B12" s="5">
        <v>77590290</v>
      </c>
      <c r="C12" s="5">
        <v>44123289</v>
      </c>
      <c r="D12" s="5">
        <v>43654298.159999996</v>
      </c>
      <c r="E12" s="24">
        <f>SUM(D12,J12,M12,O12,R12,U12,W12)</f>
        <v>43719298.159999996</v>
      </c>
      <c r="F12" s="12">
        <f>Table3[[#This Row],[FY23 TLS for Memos]]-Table3[[#This Row],[FY23 CLS]]</f>
        <v>-403990.84000000358</v>
      </c>
      <c r="G12" s="2">
        <v>-794535</v>
      </c>
      <c r="H12" s="2">
        <v>49091</v>
      </c>
      <c r="I12" s="13" t="s">
        <v>8</v>
      </c>
      <c r="J12" s="2">
        <v>65000</v>
      </c>
      <c r="K12" s="3" t="s">
        <v>47</v>
      </c>
      <c r="L12" s="3"/>
      <c r="M12" s="3"/>
      <c r="N12" s="3"/>
      <c r="O12" s="2"/>
      <c r="R12" s="2"/>
      <c r="U12" s="2"/>
      <c r="V12" s="2"/>
      <c r="W12" s="2"/>
      <c r="X12" t="s">
        <v>26</v>
      </c>
    </row>
    <row r="13" spans="1:25">
      <c r="A13" t="s">
        <v>48</v>
      </c>
      <c r="B13" s="5">
        <f>42014342-B14-B15-B16</f>
        <v>42014342</v>
      </c>
      <c r="C13" s="5">
        <f>43549328-C14-C15-C16+200000</f>
        <v>36879814</v>
      </c>
      <c r="D13" s="5">
        <f>44589818-678+194305-D14-D15-D16</f>
        <v>38101326</v>
      </c>
      <c r="E13" s="24">
        <v>37632532</v>
      </c>
      <c r="F13" s="12">
        <f>Table3[[#This Row],[FY23 TLS for Memos]]-Table3[[#This Row],[FY23 CLS]]</f>
        <v>752718</v>
      </c>
      <c r="G13" s="2">
        <v>67641</v>
      </c>
      <c r="H13" s="2">
        <v>-96808</v>
      </c>
      <c r="I13" s="13" t="s">
        <v>49</v>
      </c>
      <c r="J13" s="2">
        <v>455299</v>
      </c>
      <c r="K13" s="3" t="s">
        <v>50</v>
      </c>
      <c r="L13" s="4" t="s">
        <v>51</v>
      </c>
      <c r="M13" s="3" t="s">
        <v>52</v>
      </c>
      <c r="N13" s="3" t="s">
        <v>53</v>
      </c>
      <c r="O13" s="2"/>
      <c r="P13" s="3"/>
      <c r="Q13" s="3"/>
      <c r="R13" s="2"/>
      <c r="S13" s="3"/>
      <c r="T13" s="3"/>
      <c r="U13" s="2"/>
      <c r="V13" s="2"/>
      <c r="W13" s="2"/>
      <c r="X13" t="s">
        <v>26</v>
      </c>
    </row>
    <row r="14" spans="1:25">
      <c r="A14" t="s">
        <v>54</v>
      </c>
      <c r="C14" s="5">
        <v>463155</v>
      </c>
      <c r="D14" s="5">
        <v>449260</v>
      </c>
      <c r="E14" s="24">
        <f>SUM(D14,J14,M14,O14,R14,U14,W14)</f>
        <v>449260</v>
      </c>
      <c r="F14" s="2">
        <f>Table3[[#This Row],[FY23 TLS]]-Table3[[#This Row],[FY23 CLS]]</f>
        <v>-13895</v>
      </c>
      <c r="G14" s="2"/>
      <c r="H14" s="2"/>
      <c r="I14" s="3"/>
      <c r="J14" s="2"/>
      <c r="K14" s="3"/>
      <c r="L14" s="3"/>
      <c r="M14" s="3"/>
      <c r="N14" s="3"/>
      <c r="O14" s="2"/>
      <c r="P14" s="3"/>
      <c r="Q14" s="3"/>
      <c r="R14" s="2"/>
      <c r="S14" s="3"/>
      <c r="T14" s="3"/>
      <c r="U14" s="2"/>
      <c r="V14" s="2"/>
      <c r="W14" s="2"/>
      <c r="X14" t="s">
        <v>26</v>
      </c>
    </row>
    <row r="15" spans="1:25">
      <c r="A15" t="s">
        <v>55</v>
      </c>
      <c r="C15" s="5">
        <v>623043</v>
      </c>
      <c r="D15" s="5">
        <v>623043</v>
      </c>
      <c r="E15" s="24">
        <f>SUM(D15,J15,M15,O15,R15,U15,W15)</f>
        <v>1091837</v>
      </c>
      <c r="F15" s="12">
        <f>Table3[[#This Row],[FY23 TLS for Memos]]-Table3[[#This Row],[FY23 CLS]]</f>
        <v>468794</v>
      </c>
      <c r="G15" s="2"/>
      <c r="H15" s="2"/>
      <c r="I15" s="3" t="s">
        <v>8</v>
      </c>
      <c r="J15" s="2">
        <v>468794</v>
      </c>
      <c r="K15" s="3" t="s">
        <v>56</v>
      </c>
      <c r="L15" s="3"/>
      <c r="M15" s="3"/>
      <c r="N15" s="3"/>
      <c r="O15" s="2"/>
      <c r="P15" s="3"/>
      <c r="Q15" s="3"/>
      <c r="R15" s="2"/>
      <c r="S15" s="3"/>
      <c r="T15" s="3"/>
      <c r="U15" s="2"/>
      <c r="V15" s="2"/>
      <c r="W15" s="2"/>
      <c r="X15" t="s">
        <v>26</v>
      </c>
    </row>
    <row r="16" spans="1:25">
      <c r="A16" t="s">
        <v>57</v>
      </c>
      <c r="C16" s="5">
        <v>5783316</v>
      </c>
      <c r="D16" s="5">
        <v>5609816</v>
      </c>
      <c r="E16" s="24">
        <f>SUM(D16,J16,M16,O16,R16,U16,W16)</f>
        <v>5609816</v>
      </c>
      <c r="F16" s="2">
        <f>Table3[[#This Row],[FY23 TLS]]-Table3[[#This Row],[FY23 CLS]]</f>
        <v>-173500</v>
      </c>
      <c r="G16" s="2"/>
      <c r="H16" s="2"/>
      <c r="I16" s="3"/>
      <c r="J16" s="2"/>
      <c r="K16" s="3"/>
      <c r="L16" s="3"/>
      <c r="M16" s="3"/>
      <c r="N16" s="3"/>
      <c r="O16" s="2"/>
      <c r="P16" s="3"/>
      <c r="Q16" s="3"/>
      <c r="R16" s="2"/>
      <c r="S16" s="3"/>
      <c r="T16" s="3"/>
      <c r="U16" s="2"/>
      <c r="V16" s="2"/>
      <c r="W16" s="2"/>
      <c r="X16" t="s">
        <v>26</v>
      </c>
    </row>
    <row r="17" spans="1:24">
      <c r="A17" t="s">
        <v>58</v>
      </c>
      <c r="B17" s="5">
        <v>12355657</v>
      </c>
      <c r="C17" s="5">
        <v>13074458</v>
      </c>
      <c r="D17" s="5">
        <f>15461953-2387495</f>
        <v>13074458</v>
      </c>
      <c r="E17" s="24">
        <f>SUM(D17,J17,M17,O17,R17,U17,W17)</f>
        <v>13074458</v>
      </c>
      <c r="F17" s="2">
        <f>Table3[[#This Row],[FY23 TLS]]-Table3[[#This Row],[FY23 CLS]]</f>
        <v>0</v>
      </c>
      <c r="G17" s="2">
        <v>0</v>
      </c>
      <c r="H17" s="2">
        <v>30874</v>
      </c>
      <c r="J17" s="2"/>
      <c r="O17" s="12"/>
      <c r="P17" s="13"/>
      <c r="Q17" s="13"/>
      <c r="R17" s="2"/>
      <c r="U17" s="2"/>
      <c r="V17" s="2"/>
      <c r="W17" s="2"/>
      <c r="X17" t="s">
        <v>26</v>
      </c>
    </row>
    <row r="18" spans="1:24">
      <c r="A18" t="s">
        <v>59</v>
      </c>
      <c r="B18" s="5">
        <v>12246745</v>
      </c>
      <c r="C18" s="5">
        <v>12658660</v>
      </c>
      <c r="D18" s="5">
        <f>22191776-3199892-5739193</f>
        <v>13252691</v>
      </c>
      <c r="E18" s="24">
        <f>SUM(D18,J18,M18,O18,R18,U18,W18)</f>
        <v>13752691</v>
      </c>
      <c r="F18" s="12">
        <f>Table3[[#This Row],[FY23 TLS for Memos]]-Table3[[#This Row],[FY23 CLS]]</f>
        <v>1094031</v>
      </c>
      <c r="G18" s="2">
        <v>-13227</v>
      </c>
      <c r="H18" s="2">
        <v>38173</v>
      </c>
      <c r="I18" s="13" t="s">
        <v>8</v>
      </c>
      <c r="J18" s="2">
        <v>500000</v>
      </c>
      <c r="K18" s="3" t="s">
        <v>60</v>
      </c>
      <c r="L18" s="3"/>
      <c r="M18" s="3"/>
      <c r="N18" s="3"/>
      <c r="O18" s="2"/>
      <c r="R18" s="2"/>
      <c r="U18" s="2"/>
      <c r="V18" s="2"/>
      <c r="W18" s="2"/>
      <c r="X18" t="s">
        <v>26</v>
      </c>
    </row>
    <row r="19" spans="1:24">
      <c r="A19" t="s">
        <v>61</v>
      </c>
      <c r="B19" s="5">
        <v>1389490</v>
      </c>
      <c r="C19" s="5">
        <v>1439110</v>
      </c>
      <c r="D19" s="5">
        <v>1437074</v>
      </c>
      <c r="E19" s="24">
        <f>SUM(D19,J19,M19,O19,R19,U19,W19)</f>
        <v>1437074</v>
      </c>
      <c r="F19" s="2">
        <f>Table3[[#This Row],[FY23 TLS]]-Table3[[#This Row],[FY23 CLS]]</f>
        <v>-2036</v>
      </c>
      <c r="G19" s="2">
        <v>-2663</v>
      </c>
      <c r="H19" s="2">
        <v>2501</v>
      </c>
      <c r="J19" s="2"/>
      <c r="O19" s="2"/>
      <c r="R19" s="2"/>
      <c r="U19" s="2"/>
      <c r="V19" s="2"/>
      <c r="W19" s="2"/>
      <c r="X19" t="s">
        <v>26</v>
      </c>
    </row>
    <row r="20" spans="1:24">
      <c r="A20" t="s">
        <v>62</v>
      </c>
      <c r="B20" s="5">
        <v>2526875</v>
      </c>
      <c r="C20" s="5">
        <v>2606275</v>
      </c>
      <c r="D20" s="5">
        <v>2544945</v>
      </c>
      <c r="E20" s="24">
        <f>SUM(D20,J20,M20,O20,R20,U20,W20)</f>
        <v>2544945</v>
      </c>
      <c r="F20" s="2">
        <f>Table3[[#This Row],[FY23 TLS]]-Table3[[#This Row],[FY23 CLS]]</f>
        <v>-61330</v>
      </c>
      <c r="G20" s="2">
        <v>0</v>
      </c>
      <c r="H20" s="2">
        <v>9587</v>
      </c>
      <c r="J20" s="2"/>
      <c r="O20" s="2"/>
      <c r="R20" s="2"/>
      <c r="U20" s="2"/>
      <c r="V20" s="2"/>
      <c r="W20" s="2"/>
      <c r="X20" t="s">
        <v>26</v>
      </c>
    </row>
    <row r="21" spans="1:24">
      <c r="A21" t="s">
        <v>63</v>
      </c>
      <c r="C21" s="5">
        <f>105170+2539417</f>
        <v>2644587</v>
      </c>
      <c r="D21" s="5">
        <v>2565250</v>
      </c>
      <c r="E21" s="24">
        <f>SUM(D21,J21,M21,O21,R21,U21,W21)</f>
        <v>2565250</v>
      </c>
      <c r="F21" s="2">
        <f>Table3[[#This Row],[FY23 TLS]]-Table3[[#This Row],[FY23 CLS]]</f>
        <v>-79337</v>
      </c>
      <c r="G21" s="2"/>
      <c r="H21" s="2"/>
      <c r="J21" s="2"/>
      <c r="O21" s="2"/>
      <c r="R21" s="2"/>
      <c r="U21" s="2"/>
      <c r="V21" s="2"/>
      <c r="W21" s="2"/>
      <c r="X21" t="s">
        <v>26</v>
      </c>
    </row>
    <row r="22" spans="1:24">
      <c r="A22" t="s">
        <v>64</v>
      </c>
      <c r="C22" s="5">
        <v>2849512</v>
      </c>
      <c r="D22" s="5">
        <v>2764027</v>
      </c>
      <c r="E22" s="24">
        <f>SUM(D22,J22,M22,O22,R22,U22,W22)</f>
        <v>2764027</v>
      </c>
      <c r="F22" s="2">
        <f>Table3[[#This Row],[FY23 TLS]]-Table3[[#This Row],[FY23 CLS]]</f>
        <v>-85485</v>
      </c>
      <c r="G22" s="2"/>
      <c r="H22" s="2"/>
      <c r="J22" s="2"/>
      <c r="O22" s="2"/>
      <c r="R22" s="2"/>
      <c r="U22" s="2"/>
      <c r="V22" s="2"/>
      <c r="W22" s="2"/>
      <c r="X22" t="s">
        <v>26</v>
      </c>
    </row>
    <row r="23" spans="1:24">
      <c r="A23" t="s">
        <v>65</v>
      </c>
      <c r="C23" s="5">
        <v>532638</v>
      </c>
      <c r="D23" s="5">
        <v>532638</v>
      </c>
      <c r="E23" s="24">
        <f>SUM(D23,J23,M23,O23,R23,U23,W23)</f>
        <v>532638</v>
      </c>
      <c r="F23" s="2">
        <f>Table3[[#This Row],[FY23 TLS]]-Table3[[#This Row],[FY23 CLS]]</f>
        <v>0</v>
      </c>
      <c r="G23" s="2"/>
      <c r="H23" s="2"/>
      <c r="J23" s="2"/>
      <c r="O23" s="2"/>
      <c r="R23" s="2"/>
      <c r="U23" s="2"/>
      <c r="V23" s="2"/>
      <c r="W23" s="2"/>
      <c r="X23" t="s">
        <v>26</v>
      </c>
    </row>
    <row r="24" spans="1:24">
      <c r="A24" t="s">
        <v>66</v>
      </c>
      <c r="C24" s="5">
        <v>1724396</v>
      </c>
      <c r="D24" s="5">
        <v>1724396</v>
      </c>
      <c r="E24" s="24">
        <f>SUM(D24,J24,M24,O24,R24,U24,W24)</f>
        <v>1724396</v>
      </c>
      <c r="F24" s="2">
        <f>Table3[[#This Row],[FY23 TLS]]-Table3[[#This Row],[FY23 CLS]]</f>
        <v>0</v>
      </c>
      <c r="G24" s="2"/>
      <c r="H24" s="2"/>
      <c r="J24" s="2"/>
      <c r="O24" s="2"/>
      <c r="R24" s="2"/>
      <c r="U24" s="2"/>
      <c r="V24" s="2"/>
      <c r="W24" s="2"/>
      <c r="X24" t="s">
        <v>26</v>
      </c>
    </row>
    <row r="25" spans="1:24">
      <c r="A25" t="s">
        <v>67</v>
      </c>
      <c r="C25" s="5">
        <v>2328507</v>
      </c>
      <c r="D25" s="5">
        <v>2328507</v>
      </c>
      <c r="E25" s="24">
        <f>SUM(D25,J25,M25,O25,R25,U25,W25)</f>
        <v>2328507</v>
      </c>
      <c r="F25" s="2">
        <f>Table3[[#This Row],[FY23 TLS]]-Table3[[#This Row],[FY23 CLS]]</f>
        <v>0</v>
      </c>
      <c r="G25" s="2"/>
      <c r="H25" s="2"/>
      <c r="J25" s="2"/>
      <c r="O25" s="2"/>
      <c r="R25" s="2"/>
      <c r="U25" s="2"/>
      <c r="V25" s="2"/>
      <c r="W25" s="2"/>
      <c r="X25" t="s">
        <v>26</v>
      </c>
    </row>
    <row r="26" spans="1:24">
      <c r="A26" t="s">
        <v>68</v>
      </c>
      <c r="B26" s="5">
        <v>665017</v>
      </c>
      <c r="C26" s="5">
        <v>771009</v>
      </c>
      <c r="D26" s="5">
        <v>771009</v>
      </c>
      <c r="E26" s="24">
        <f>SUM(D26,J26,M26,O26,R26,U26,W26)</f>
        <v>771009</v>
      </c>
      <c r="F26" s="2">
        <f>Table3[[#This Row],[FY23 TLS]]-Table3[[#This Row],[FY23 CLS]]</f>
        <v>0</v>
      </c>
      <c r="G26" s="2">
        <v>0</v>
      </c>
      <c r="H26" s="2">
        <v>1667</v>
      </c>
      <c r="J26" s="2"/>
      <c r="O26" s="2"/>
      <c r="R26" s="2"/>
      <c r="U26" s="2"/>
      <c r="V26" s="2"/>
      <c r="W26" s="2"/>
      <c r="X26" t="s">
        <v>26</v>
      </c>
    </row>
    <row r="27" spans="1:24">
      <c r="A27" t="s">
        <v>69</v>
      </c>
      <c r="B27" s="5">
        <v>10649038</v>
      </c>
      <c r="C27" s="5">
        <f>9447912-C28-C29-C30-C31-C32</f>
        <v>745693</v>
      </c>
      <c r="D27" s="5">
        <f>10285137-D28-D29-D30-D33-D32-D31</f>
        <v>870030</v>
      </c>
      <c r="E27" s="24">
        <f>SUM(D27,J27,M27,O27,R27,U27,W27)</f>
        <v>870030</v>
      </c>
      <c r="F27" s="2">
        <f>Table3[[#This Row],[FY23 TLS]]-Table3[[#This Row],[FY23 CLS]]</f>
        <v>124337</v>
      </c>
      <c r="G27" s="2">
        <v>0</v>
      </c>
      <c r="H27" s="2">
        <v>0</v>
      </c>
      <c r="I27" s="13"/>
      <c r="J27" s="2"/>
      <c r="K27" s="3"/>
      <c r="L27" s="3"/>
      <c r="M27" s="3"/>
      <c r="N27" s="3"/>
      <c r="O27" s="2"/>
      <c r="R27" s="2"/>
      <c r="U27" s="2"/>
      <c r="V27" s="2"/>
      <c r="W27" s="2"/>
      <c r="X27" t="s">
        <v>26</v>
      </c>
    </row>
    <row r="28" spans="1:24">
      <c r="A28" t="s">
        <v>70</v>
      </c>
      <c r="C28" s="5">
        <v>162635</v>
      </c>
      <c r="D28" s="5">
        <v>162635</v>
      </c>
      <c r="E28" s="24">
        <f>SUM(D28,J28,M28,O28,R28,U28,W28)</f>
        <v>294265</v>
      </c>
      <c r="F28" s="12">
        <f>Table3[[#This Row],[FY23 TLS for Memos]]-Table3[[#This Row],[FY23 CLS]]</f>
        <v>131630</v>
      </c>
      <c r="G28" s="2"/>
      <c r="H28" s="2"/>
      <c r="I28" s="13" t="s">
        <v>8</v>
      </c>
      <c r="J28" s="2">
        <v>131630</v>
      </c>
      <c r="K28" s="4" t="s">
        <v>71</v>
      </c>
      <c r="O28" s="2"/>
      <c r="R28" s="2"/>
      <c r="U28" s="2"/>
      <c r="V28" s="2"/>
      <c r="W28" s="2"/>
      <c r="X28" t="s">
        <v>26</v>
      </c>
    </row>
    <row r="29" spans="1:24">
      <c r="A29" t="s">
        <v>72</v>
      </c>
      <c r="C29" s="5">
        <v>319583</v>
      </c>
      <c r="D29" s="5">
        <v>309996</v>
      </c>
      <c r="E29" s="24">
        <f>SUM(D29,J29,M29,O29,R29,U29,W29)</f>
        <v>548396</v>
      </c>
      <c r="F29" s="12">
        <f>Table3[[#This Row],[FY23 TLS for Memos]]-Table3[[#This Row],[FY23 CLS]]</f>
        <v>228813</v>
      </c>
      <c r="G29" s="2"/>
      <c r="H29" s="2"/>
      <c r="I29" s="13" t="s">
        <v>8</v>
      </c>
      <c r="J29" s="2">
        <v>238400</v>
      </c>
      <c r="K29" s="4" t="s">
        <v>73</v>
      </c>
      <c r="O29" s="2"/>
      <c r="R29" s="2"/>
      <c r="U29" s="2"/>
      <c r="V29" s="2"/>
      <c r="W29" s="2"/>
      <c r="X29" t="s">
        <v>26</v>
      </c>
    </row>
    <row r="30" spans="1:24">
      <c r="A30" t="s">
        <v>74</v>
      </c>
      <c r="C30" s="11">
        <v>8191771</v>
      </c>
      <c r="D30" s="11">
        <v>8191771</v>
      </c>
      <c r="E30" s="24">
        <f>SUM(D30,J30,M30,O30,R30,U30,W30)</f>
        <v>8691771</v>
      </c>
      <c r="F30" s="12">
        <f>Table3[[#This Row],[FY23 TLS for Memos]]-Table3[[#This Row],[FY23 CLS]]</f>
        <v>500000</v>
      </c>
      <c r="G30" s="2"/>
      <c r="H30" s="2"/>
      <c r="I30" s="13" t="s">
        <v>8</v>
      </c>
      <c r="J30" s="2">
        <v>500000</v>
      </c>
      <c r="K30" s="4" t="s">
        <v>75</v>
      </c>
      <c r="O30" s="2"/>
      <c r="R30" s="2"/>
      <c r="U30" s="2"/>
      <c r="V30" s="2"/>
      <c r="W30" s="2"/>
      <c r="X30" t="s">
        <v>26</v>
      </c>
    </row>
    <row r="31" spans="1:24">
      <c r="A31" t="s">
        <v>76</v>
      </c>
      <c r="C31" s="11">
        <v>15956</v>
      </c>
      <c r="D31" s="11">
        <v>15477</v>
      </c>
      <c r="E31" s="24">
        <f>SUM(D31,J31,M31,O31,R31,U31,W31)</f>
        <v>15477</v>
      </c>
      <c r="F31" s="2">
        <f>Table3[[#This Row],[FY23 TLS]]-Table3[[#This Row],[FY23 CLS]]</f>
        <v>-479</v>
      </c>
      <c r="G31" s="2"/>
      <c r="H31" s="2"/>
      <c r="J31" s="2"/>
      <c r="O31" s="2"/>
      <c r="R31" s="2"/>
      <c r="U31" s="2"/>
      <c r="V31" s="2"/>
      <c r="W31" s="2"/>
      <c r="X31" t="s">
        <v>26</v>
      </c>
    </row>
    <row r="32" spans="1:24">
      <c r="A32" t="s">
        <v>77</v>
      </c>
      <c r="C32" s="11">
        <v>12274</v>
      </c>
      <c r="D32" s="11">
        <v>11906</v>
      </c>
      <c r="E32" s="24">
        <f>SUM(D32,J32,M32,O32,R32,U32,W32)</f>
        <v>11906</v>
      </c>
      <c r="F32" s="2">
        <f>Table3[[#This Row],[FY23 TLS]]-Table3[[#This Row],[FY23 CLS]]</f>
        <v>-368</v>
      </c>
      <c r="G32" s="2"/>
      <c r="H32" s="2"/>
      <c r="J32" s="2"/>
      <c r="O32" s="2"/>
      <c r="R32" s="2"/>
      <c r="U32" s="2"/>
      <c r="V32" s="2"/>
      <c r="W32" s="2"/>
      <c r="X32" t="s">
        <v>26</v>
      </c>
    </row>
    <row r="33" spans="1:24">
      <c r="A33" t="s">
        <v>78</v>
      </c>
      <c r="C33" s="5">
        <v>745693</v>
      </c>
      <c r="D33" s="5">
        <v>723322</v>
      </c>
      <c r="E33" s="24">
        <f>SUM(D33,J33,M33,O33,R33,U33,W33)</f>
        <v>723322</v>
      </c>
      <c r="F33" s="2">
        <f>Table3[[#This Row],[FY23 TLS]]-Table3[[#This Row],[FY23 CLS]]</f>
        <v>-22371</v>
      </c>
      <c r="G33" s="2"/>
      <c r="H33" s="2"/>
      <c r="J33" s="2"/>
      <c r="O33" s="2"/>
      <c r="R33" s="2"/>
      <c r="U33" s="2"/>
      <c r="V33" s="2"/>
      <c r="W33" s="2"/>
      <c r="X33" t="s">
        <v>26</v>
      </c>
    </row>
    <row r="34" spans="1:24">
      <c r="A34" t="s">
        <v>79</v>
      </c>
      <c r="B34" s="5">
        <v>11185544</v>
      </c>
      <c r="C34" s="5">
        <v>14294104</v>
      </c>
      <c r="D34" s="5">
        <v>13992774</v>
      </c>
      <c r="E34" s="24">
        <f>SUM(D34,J34,M34,O34,R34,U34,W34)</f>
        <v>13992774</v>
      </c>
      <c r="F34" s="2">
        <f>Table3[[#This Row],[FY23 TLS]]-Table3[[#This Row],[FY23 CLS]]</f>
        <v>-301330</v>
      </c>
      <c r="G34" s="2">
        <v>0</v>
      </c>
      <c r="H34" s="2">
        <v>59537</v>
      </c>
      <c r="J34" s="2"/>
      <c r="O34" s="12"/>
      <c r="P34" s="14"/>
      <c r="Q34" s="14"/>
      <c r="R34" s="2"/>
      <c r="U34" s="2"/>
      <c r="V34" s="2"/>
      <c r="W34" s="2"/>
      <c r="X34" t="s">
        <v>26</v>
      </c>
    </row>
    <row r="35" spans="1:24">
      <c r="A35" t="s">
        <v>80</v>
      </c>
      <c r="B35" s="5">
        <v>11325031</v>
      </c>
      <c r="C35" s="5">
        <v>11511351</v>
      </c>
      <c r="D35" s="5">
        <v>10349916</v>
      </c>
      <c r="E35" s="24">
        <f>SUM(D35,J35,M35,O35,R35,U35,W35)</f>
        <v>10349916</v>
      </c>
      <c r="F35" s="2">
        <f>Table3[[#This Row],[FY23 TLS]]-Table3[[#This Row],[FY23 CLS]]</f>
        <v>-1161435</v>
      </c>
      <c r="G35" s="2">
        <v>0</v>
      </c>
      <c r="H35" s="2">
        <v>0</v>
      </c>
      <c r="J35" s="2"/>
      <c r="O35" s="2"/>
      <c r="R35" s="2"/>
      <c r="U35" s="2"/>
      <c r="V35" s="2"/>
      <c r="W35" s="2"/>
      <c r="X35" t="s">
        <v>26</v>
      </c>
    </row>
    <row r="36" spans="1:24">
      <c r="A36" t="s">
        <v>81</v>
      </c>
      <c r="B36" s="5">
        <v>1556600</v>
      </c>
      <c r="C36" s="5">
        <v>1586133</v>
      </c>
      <c r="D36" s="5">
        <v>1564730</v>
      </c>
      <c r="E36" s="24">
        <v>1564730</v>
      </c>
      <c r="F36" s="12">
        <f>Table3[[#This Row],[FY23 TLS for Memos]]-Table3[[#This Row],[FY23 CLS]]</f>
        <v>-21403</v>
      </c>
      <c r="G36" s="2">
        <v>0</v>
      </c>
      <c r="H36" s="2">
        <v>3334</v>
      </c>
      <c r="I36" s="13" t="s">
        <v>8</v>
      </c>
      <c r="J36" s="2">
        <v>5022</v>
      </c>
      <c r="K36" s="3" t="s">
        <v>82</v>
      </c>
      <c r="L36" s="3"/>
      <c r="M36" s="3"/>
      <c r="N36" s="3"/>
      <c r="O36" s="2"/>
      <c r="R36" s="2"/>
      <c r="U36" s="2"/>
      <c r="V36" s="2"/>
      <c r="W36" s="2"/>
      <c r="X36" t="s">
        <v>26</v>
      </c>
    </row>
    <row r="37" spans="1:24">
      <c r="A37" t="s">
        <v>83</v>
      </c>
      <c r="C37" s="5">
        <v>10360296</v>
      </c>
      <c r="D37" s="5">
        <v>10349916</v>
      </c>
      <c r="E37" s="24">
        <f>SUM(D37,J37,M37,O37,R37,U37,W37)</f>
        <v>10349916</v>
      </c>
      <c r="F37" s="2">
        <f>Table3[[#This Row],[FY23 TLS]]-Table3[[#This Row],[FY23 CLS]]</f>
        <v>-10380</v>
      </c>
      <c r="G37" s="2"/>
      <c r="H37" s="2"/>
      <c r="J37" s="2"/>
      <c r="O37" s="2"/>
      <c r="R37" s="2"/>
      <c r="U37" s="2"/>
      <c r="V37" s="2"/>
      <c r="W37" s="2"/>
      <c r="X37" t="s">
        <v>26</v>
      </c>
    </row>
    <row r="38" spans="1:24">
      <c r="A38" t="s">
        <v>84</v>
      </c>
      <c r="C38" s="5">
        <v>1158747</v>
      </c>
      <c r="D38" s="5">
        <v>1158747</v>
      </c>
      <c r="E38" s="24">
        <f>SUM(D38,J38,M38,O38,R38,U38,W38)</f>
        <v>1158747</v>
      </c>
      <c r="F38" s="2">
        <f>Table3[[#This Row],[FY23 TLS]]-Table3[[#This Row],[FY23 CLS]]</f>
        <v>0</v>
      </c>
      <c r="G38" s="2"/>
      <c r="H38" s="2"/>
      <c r="J38" s="2"/>
      <c r="O38" s="2"/>
      <c r="R38" s="2"/>
      <c r="U38" s="2"/>
      <c r="V38" s="2"/>
      <c r="W38" s="2"/>
      <c r="X38" t="s">
        <v>26</v>
      </c>
    </row>
    <row r="39" spans="1:24">
      <c r="A39" t="s">
        <v>85</v>
      </c>
      <c r="C39" s="5">
        <v>154287</v>
      </c>
      <c r="D39" s="5">
        <v>149658</v>
      </c>
      <c r="E39" s="24">
        <f>SUM(D39,J39,M39,O39,R39,U39,W39)</f>
        <v>149658</v>
      </c>
      <c r="F39" s="2">
        <f>Table3[[#This Row],[FY23 TLS]]-Table3[[#This Row],[FY23 CLS]]</f>
        <v>-4629</v>
      </c>
      <c r="G39" s="2"/>
      <c r="H39" s="2"/>
      <c r="J39" s="2"/>
      <c r="O39" s="2"/>
      <c r="R39" s="2"/>
      <c r="U39" s="2"/>
      <c r="V39" s="2"/>
      <c r="W39" s="2"/>
      <c r="X39" t="s">
        <v>26</v>
      </c>
    </row>
    <row r="40" spans="1:24">
      <c r="A40" t="s">
        <v>86</v>
      </c>
      <c r="B40" s="5">
        <v>4375238</v>
      </c>
      <c r="C40" s="5">
        <v>3596985</v>
      </c>
      <c r="D40" s="5">
        <v>3632620</v>
      </c>
      <c r="E40" s="24">
        <f>SUM(D40,J40,M40,O40,R40,U40,W40)</f>
        <v>4032620</v>
      </c>
      <c r="F40" s="12">
        <f>Table3[[#This Row],[FY23 TLS for Memos]]-Table3[[#This Row],[FY23 CLS]]</f>
        <v>435635</v>
      </c>
      <c r="G40" s="2">
        <v>-42237</v>
      </c>
      <c r="H40" s="2">
        <v>10481</v>
      </c>
      <c r="I40" s="13" t="s">
        <v>8</v>
      </c>
      <c r="J40" s="2">
        <v>400000</v>
      </c>
      <c r="K40" s="4" t="s">
        <v>87</v>
      </c>
      <c r="O40" s="2"/>
      <c r="R40" s="2"/>
      <c r="U40" s="2"/>
      <c r="V40" s="2"/>
      <c r="W40" s="2"/>
      <c r="X40" t="s">
        <v>26</v>
      </c>
    </row>
    <row r="41" spans="1:24">
      <c r="A41" t="s">
        <v>88</v>
      </c>
      <c r="B41" s="5">
        <v>8548520</v>
      </c>
      <c r="C41" s="5">
        <v>9427822</v>
      </c>
      <c r="D41" s="5">
        <v>9239611</v>
      </c>
      <c r="E41" s="24">
        <f>SUM(D41,J41,M41,O41,R41,U41,W41)</f>
        <v>9239611</v>
      </c>
      <c r="F41" s="2">
        <f>Table3[[#This Row],[FY23 TLS]]-Table3[[#This Row],[FY23 CLS]]</f>
        <v>-188211</v>
      </c>
      <c r="G41" s="2">
        <v>0</v>
      </c>
      <c r="H41" s="2">
        <v>18756</v>
      </c>
      <c r="J41" s="2"/>
      <c r="O41" s="2"/>
      <c r="R41" s="2"/>
      <c r="U41" s="2"/>
      <c r="V41" s="2"/>
      <c r="W41" s="2"/>
      <c r="X41" t="s">
        <v>26</v>
      </c>
    </row>
    <row r="42" spans="1:24">
      <c r="A42" t="s">
        <v>89</v>
      </c>
      <c r="B42" s="5">
        <v>12447742</v>
      </c>
      <c r="C42" s="5">
        <v>12987016</v>
      </c>
      <c r="D42" s="5">
        <v>12500989.949999999</v>
      </c>
      <c r="E42" s="24">
        <f>SUM(D42,J42,M42,O42,R42,U42,W42)</f>
        <v>12579619.949999999</v>
      </c>
      <c r="F42" s="12">
        <f>Table3[[#This Row],[FY23 TLS for Memos]]-Table3[[#This Row],[FY23 CLS]]</f>
        <v>-407396.05000000075</v>
      </c>
      <c r="G42" s="2">
        <v>-20384</v>
      </c>
      <c r="H42" s="2">
        <v>6669</v>
      </c>
      <c r="I42" s="13" t="s">
        <v>8</v>
      </c>
      <c r="J42" s="2">
        <v>78630</v>
      </c>
      <c r="K42" s="3" t="s">
        <v>90</v>
      </c>
      <c r="L42" s="3"/>
      <c r="M42" s="3"/>
      <c r="N42" s="3"/>
      <c r="O42" s="2"/>
      <c r="R42" s="2"/>
      <c r="U42" s="2"/>
      <c r="V42" s="2"/>
      <c r="W42" s="2"/>
      <c r="X42" t="s">
        <v>26</v>
      </c>
    </row>
    <row r="43" spans="1:24">
      <c r="A43" s="10" t="s">
        <v>91</v>
      </c>
      <c r="B43" s="5">
        <v>37501075</v>
      </c>
      <c r="C43" s="5">
        <v>36482421</v>
      </c>
      <c r="D43" s="5">
        <f>50358678-13376257</f>
        <v>36982421</v>
      </c>
      <c r="E43" s="24">
        <f>SUM(D43,J43,M43,O43,R43,U43,W43)</f>
        <v>37482421</v>
      </c>
      <c r="F43" s="22">
        <f>Table3[[#This Row],[FY23 TLS for Memos]]-Table3[[#This Row],[FY23 CLS]]</f>
        <v>1000000</v>
      </c>
      <c r="G43" s="2">
        <v>-20332</v>
      </c>
      <c r="H43" s="2">
        <v>60758</v>
      </c>
      <c r="I43" s="13" t="s">
        <v>8</v>
      </c>
      <c r="J43" s="2">
        <v>500000</v>
      </c>
      <c r="K43" s="3" t="s">
        <v>92</v>
      </c>
      <c r="L43" s="3"/>
      <c r="M43" s="3"/>
      <c r="N43" s="3"/>
      <c r="O43" s="2"/>
      <c r="R43" s="2"/>
      <c r="U43" s="2"/>
      <c r="V43" s="2"/>
      <c r="W43" s="2"/>
      <c r="X43" t="s">
        <v>26</v>
      </c>
    </row>
    <row r="44" spans="1:24">
      <c r="A44" t="s">
        <v>93</v>
      </c>
      <c r="B44" s="5">
        <v>8710850</v>
      </c>
      <c r="C44" s="5">
        <v>9031873</v>
      </c>
      <c r="D44" s="5">
        <v>9351704</v>
      </c>
      <c r="E44" s="24">
        <f>SUM(D44,J44,M44,O44,R44,U44,W44)</f>
        <v>10551704</v>
      </c>
      <c r="F44" s="12">
        <f>Table3[[#This Row],[FY23 TLS for Memos]]-Table3[[#This Row],[FY23 CLS]]</f>
        <v>1519831</v>
      </c>
      <c r="G44" s="2">
        <v>-1156</v>
      </c>
      <c r="H44" s="2">
        <v>6252</v>
      </c>
      <c r="I44" s="13" t="s">
        <v>8</v>
      </c>
      <c r="J44" s="2">
        <v>1200000</v>
      </c>
      <c r="K44" s="3" t="s">
        <v>94</v>
      </c>
      <c r="L44" s="3"/>
      <c r="M44" s="3"/>
      <c r="N44" s="3"/>
      <c r="O44" s="2"/>
      <c r="R44" s="2"/>
      <c r="U44" s="2"/>
      <c r="V44" s="2"/>
      <c r="W44" s="2"/>
      <c r="X44" t="s">
        <v>26</v>
      </c>
    </row>
    <row r="45" spans="1:24">
      <c r="A45" t="s">
        <v>95</v>
      </c>
      <c r="B45" s="5">
        <v>2253984</v>
      </c>
      <c r="C45" s="5">
        <v>2406269</v>
      </c>
      <c r="D45" s="5">
        <v>2406269</v>
      </c>
      <c r="E45" s="24">
        <f>SUM(D45,J45,M45,O45,R45,U45,W45)</f>
        <v>2406269</v>
      </c>
      <c r="F45" s="2">
        <f>Table3[[#This Row],[FY23 TLS]]-Table3[[#This Row],[FY23 CLS]]</f>
        <v>0</v>
      </c>
      <c r="G45" s="2">
        <v>-2447</v>
      </c>
      <c r="H45" s="2">
        <v>8844</v>
      </c>
      <c r="J45" s="2"/>
      <c r="O45" s="2"/>
      <c r="R45" s="2"/>
      <c r="U45" s="2"/>
      <c r="V45" s="2"/>
      <c r="W45" s="2"/>
      <c r="X45" t="s">
        <v>26</v>
      </c>
    </row>
    <row r="46" spans="1:24">
      <c r="A46" t="s">
        <v>96</v>
      </c>
      <c r="B46" s="5">
        <v>957075</v>
      </c>
      <c r="C46" s="5">
        <v>1011675</v>
      </c>
      <c r="D46" s="5">
        <v>981423</v>
      </c>
      <c r="E46" s="24">
        <f>SUM(D46,J46,M46,O46,R46,U46,W46)</f>
        <v>981423</v>
      </c>
      <c r="F46" s="2">
        <f>Table3[[#This Row],[FY23 TLS]]-Table3[[#This Row],[FY23 CLS]]</f>
        <v>-30252</v>
      </c>
      <c r="G46" s="2">
        <v>-2062</v>
      </c>
      <c r="H46" s="2">
        <v>2501</v>
      </c>
      <c r="J46" s="2"/>
      <c r="O46" s="2"/>
      <c r="R46" s="2"/>
      <c r="U46" s="2"/>
      <c r="V46" s="2"/>
      <c r="W46" s="2"/>
      <c r="X46" t="s">
        <v>26</v>
      </c>
    </row>
    <row r="47" spans="1:24">
      <c r="A47" t="s">
        <v>97</v>
      </c>
      <c r="B47" s="5">
        <v>11552945</v>
      </c>
      <c r="C47" s="5">
        <v>13343408</v>
      </c>
      <c r="D47" s="5">
        <v>13539012</v>
      </c>
      <c r="E47" s="24">
        <f>SUM(D47,J47,M47,O47,R47,U47,W47)</f>
        <v>13539012</v>
      </c>
      <c r="F47" s="2">
        <f>Table3[[#This Row],[FY23 TLS]]-Table3[[#This Row],[FY23 CLS]]</f>
        <v>195604</v>
      </c>
      <c r="G47" s="2">
        <v>-44134</v>
      </c>
      <c r="H47" s="2">
        <v>31705</v>
      </c>
      <c r="J47" s="2"/>
      <c r="O47" s="2"/>
      <c r="R47" s="2"/>
      <c r="U47" s="2"/>
      <c r="V47" s="2"/>
      <c r="W47" s="2"/>
      <c r="X47" t="s">
        <v>26</v>
      </c>
    </row>
    <row r="48" spans="1:24">
      <c r="A48" t="s">
        <v>98</v>
      </c>
      <c r="B48" s="5">
        <v>485660</v>
      </c>
      <c r="C48" s="5">
        <v>615091</v>
      </c>
      <c r="D48" s="5">
        <v>615091</v>
      </c>
      <c r="E48" s="24">
        <f>SUM(D48,J48,M48,O48,R48,U48,W48)</f>
        <v>615091</v>
      </c>
      <c r="F48" s="2">
        <f>Table3[[#This Row],[FY23 TLS]]-Table3[[#This Row],[FY23 CLS]]</f>
        <v>0</v>
      </c>
      <c r="G48" s="2">
        <v>-1557</v>
      </c>
      <c r="H48" s="2">
        <v>4585</v>
      </c>
      <c r="J48" s="2"/>
      <c r="O48" s="2"/>
      <c r="R48" s="2"/>
      <c r="U48" s="2"/>
      <c r="V48" s="2"/>
      <c r="W48" s="2"/>
      <c r="X48" t="s">
        <v>26</v>
      </c>
    </row>
    <row r="49" spans="1:24">
      <c r="A49" t="s">
        <v>99</v>
      </c>
      <c r="B49" s="5">
        <v>2670931</v>
      </c>
      <c r="C49" s="5">
        <v>2998709</v>
      </c>
      <c r="D49" s="5">
        <v>3272800</v>
      </c>
      <c r="E49" s="24">
        <f>SUM(D49,J49,M49,O49,R49,U49,W49)</f>
        <v>3543202</v>
      </c>
      <c r="F49" s="12">
        <f>Table3[[#This Row],[FY23 TLS for Memos]]-Table3[[#This Row],[FY23 CLS]]</f>
        <v>544493</v>
      </c>
      <c r="G49" s="2">
        <v>0</v>
      </c>
      <c r="H49" s="2">
        <v>8723</v>
      </c>
      <c r="I49" s="13" t="s">
        <v>8</v>
      </c>
      <c r="J49" s="2">
        <v>270402</v>
      </c>
      <c r="K49" s="3" t="s">
        <v>100</v>
      </c>
      <c r="L49" s="3"/>
      <c r="M49" s="3"/>
      <c r="N49" s="3"/>
      <c r="O49" s="2"/>
      <c r="R49" s="2"/>
      <c r="U49" s="2"/>
      <c r="V49" s="2"/>
      <c r="W49" s="2"/>
      <c r="X49" t="s">
        <v>26</v>
      </c>
    </row>
    <row r="50" spans="1:24">
      <c r="A50" t="s">
        <v>101</v>
      </c>
      <c r="B50" s="5">
        <v>6959199</v>
      </c>
      <c r="C50" s="5">
        <v>7189206</v>
      </c>
      <c r="D50" s="5">
        <v>7259140</v>
      </c>
      <c r="E50" s="24">
        <f>SUM(D50,J50,M50,O50,R50,U50,W50)</f>
        <v>7380180</v>
      </c>
      <c r="F50" s="12">
        <f>Table3[[#This Row],[FY23 TLS for Memos]]-Table3[[#This Row],[FY23 CLS]]</f>
        <v>190974</v>
      </c>
      <c r="G50" s="2">
        <v>-12491</v>
      </c>
      <c r="H50" s="2">
        <v>22060</v>
      </c>
      <c r="I50" s="13" t="s">
        <v>8</v>
      </c>
      <c r="J50" s="2">
        <v>121040</v>
      </c>
      <c r="K50" s="3" t="s">
        <v>102</v>
      </c>
      <c r="L50" s="3"/>
      <c r="M50" s="3"/>
      <c r="N50" s="3"/>
      <c r="O50" s="2"/>
      <c r="R50" s="2"/>
      <c r="U50" s="2"/>
      <c r="V50" s="2"/>
      <c r="W50" s="2"/>
      <c r="X50" t="s">
        <v>26</v>
      </c>
    </row>
    <row r="51" spans="1:24">
      <c r="A51" t="s">
        <v>103</v>
      </c>
      <c r="B51" s="5">
        <v>521725791</v>
      </c>
      <c r="C51" s="5">
        <v>543524587</v>
      </c>
      <c r="D51" s="5">
        <f>533657401+10000000</f>
        <v>543657401</v>
      </c>
      <c r="E51" s="24">
        <f>SUM(D51,J51,M51,O51,R51,U51,W51)</f>
        <v>540944691</v>
      </c>
      <c r="F51" s="12">
        <f>Table3[[#This Row],[FY23 TLS for Memos]]-Table3[[#This Row],[FY23 CLS]]</f>
        <v>-2579896</v>
      </c>
      <c r="G51" s="2">
        <v>-525875</v>
      </c>
      <c r="H51" s="2">
        <v>4822016</v>
      </c>
      <c r="I51" s="13" t="s">
        <v>104</v>
      </c>
      <c r="J51" s="2">
        <v>324000</v>
      </c>
      <c r="K51" s="3" t="s">
        <v>105</v>
      </c>
      <c r="L51" s="4" t="s">
        <v>106</v>
      </c>
      <c r="M51" s="2">
        <v>963290</v>
      </c>
      <c r="N51" s="3" t="s">
        <v>107</v>
      </c>
      <c r="O51" s="2">
        <v>-4000000</v>
      </c>
      <c r="P51" s="4" t="s">
        <v>108</v>
      </c>
      <c r="Q51" s="3" t="s">
        <v>38</v>
      </c>
      <c r="R51" s="2"/>
      <c r="U51" s="2"/>
      <c r="V51" s="2"/>
      <c r="W51" s="2"/>
      <c r="X51" t="s">
        <v>26</v>
      </c>
    </row>
    <row r="52" spans="1:24">
      <c r="A52" t="s">
        <v>109</v>
      </c>
      <c r="B52" s="5">
        <v>96437661</v>
      </c>
      <c r="C52" s="5">
        <v>100833494</v>
      </c>
      <c r="D52" s="5">
        <v>100224579.08</v>
      </c>
      <c r="E52" s="24">
        <f>SUM(D52,J52,M52,O52,R52,U52,W52)</f>
        <v>100224579.08</v>
      </c>
      <c r="F52" s="2">
        <f>Table3[[#This Row],[FY23 TLS]]-Table3[[#This Row],[FY23 CLS]]</f>
        <v>-608914.92000000179</v>
      </c>
      <c r="G52" s="2">
        <v>-31317</v>
      </c>
      <c r="H52" s="2">
        <v>-3211184</v>
      </c>
      <c r="I52" s="3"/>
      <c r="J52" s="2"/>
      <c r="O52" s="2"/>
      <c r="R52" s="2"/>
      <c r="U52" s="2"/>
      <c r="V52" s="2"/>
      <c r="W52" s="2"/>
      <c r="X52" t="s">
        <v>26</v>
      </c>
    </row>
    <row r="53" spans="1:24">
      <c r="A53" t="s">
        <v>110</v>
      </c>
      <c r="B53" s="5">
        <v>45714877</v>
      </c>
      <c r="C53" s="5">
        <v>48428268</v>
      </c>
      <c r="D53" s="5">
        <v>48021434.599999994</v>
      </c>
      <c r="E53" s="24">
        <v>48428268</v>
      </c>
      <c r="F53" s="12">
        <f>Table3[[#This Row],[FY23 TLS for Memos]]-Table3[[#This Row],[FY23 CLS]]</f>
        <v>0</v>
      </c>
      <c r="G53" s="2">
        <v>0</v>
      </c>
      <c r="H53" s="2">
        <v>-383190</v>
      </c>
      <c r="I53" s="13" t="s">
        <v>8</v>
      </c>
      <c r="J53" s="2">
        <v>999948</v>
      </c>
      <c r="K53" s="3" t="s">
        <v>111</v>
      </c>
      <c r="L53" s="3"/>
      <c r="M53" s="3"/>
      <c r="N53" s="3"/>
      <c r="O53" s="2"/>
      <c r="R53" s="12"/>
      <c r="S53" s="13"/>
      <c r="T53" s="13"/>
      <c r="U53" s="2"/>
      <c r="V53" s="2"/>
      <c r="W53" s="2"/>
      <c r="X53" t="s">
        <v>26</v>
      </c>
    </row>
    <row r="54" spans="1:24">
      <c r="A54" t="s">
        <v>112</v>
      </c>
      <c r="B54" s="5">
        <v>21744022</v>
      </c>
      <c r="C54" s="5">
        <v>21797195</v>
      </c>
      <c r="D54" s="5">
        <v>21797195</v>
      </c>
      <c r="E54" s="24">
        <f>SUM(D54,J54,M54,O54,R54,U54,W54)</f>
        <v>21797195</v>
      </c>
      <c r="F54" s="2">
        <f>Table3[[#This Row],[FY23 TLS]]-Table3[[#This Row],[FY23 CLS]]</f>
        <v>0</v>
      </c>
      <c r="G54" s="2">
        <v>0</v>
      </c>
      <c r="H54" s="2">
        <v>-541006</v>
      </c>
      <c r="J54" s="2"/>
      <c r="O54" s="2"/>
      <c r="R54" s="2"/>
      <c r="U54" s="2"/>
      <c r="V54" s="2"/>
      <c r="W54" s="2"/>
      <c r="X54" t="s">
        <v>26</v>
      </c>
    </row>
    <row r="55" spans="1:24">
      <c r="A55" t="s">
        <v>113</v>
      </c>
      <c r="B55" s="5">
        <v>38401582</v>
      </c>
      <c r="C55" s="5">
        <v>40087110</v>
      </c>
      <c r="D55" s="5">
        <v>40088371</v>
      </c>
      <c r="E55" s="24">
        <f>SUM(D55,J55,M55,O55,R55,U55,W55)</f>
        <v>40088371</v>
      </c>
      <c r="F55" s="2">
        <f>Table3[[#This Row],[FY23 TLS]]-Table3[[#This Row],[FY23 CLS]]</f>
        <v>1261</v>
      </c>
      <c r="G55" s="2">
        <v>0</v>
      </c>
      <c r="H55" s="2">
        <v>130266</v>
      </c>
      <c r="J55" s="2"/>
      <c r="O55" s="2"/>
      <c r="R55" s="2"/>
      <c r="U55" s="2"/>
      <c r="V55" s="2"/>
      <c r="W55" s="2"/>
      <c r="X55" t="s">
        <v>26</v>
      </c>
    </row>
    <row r="56" spans="1:24">
      <c r="A56" t="s">
        <v>114</v>
      </c>
      <c r="B56" s="5">
        <v>125155709</v>
      </c>
      <c r="C56" s="5">
        <v>132691808</v>
      </c>
      <c r="D56" s="5">
        <v>129657287.03</v>
      </c>
      <c r="E56" s="24">
        <f>SUM(D56,J56,M56,O56,R56,U56,W56)</f>
        <v>129657287.03</v>
      </c>
      <c r="F56" s="2">
        <f>Table3[[#This Row],[FY23 TLS]]-Table3[[#This Row],[FY23 CLS]]</f>
        <v>-3034520.9699999988</v>
      </c>
      <c r="G56" s="2">
        <v>-77505</v>
      </c>
      <c r="H56" s="2">
        <v>-2062726</v>
      </c>
      <c r="J56" s="2"/>
      <c r="O56" s="2"/>
      <c r="R56" s="2"/>
      <c r="U56" s="2"/>
      <c r="V56" s="2"/>
      <c r="W56" s="2"/>
      <c r="X56" t="s">
        <v>26</v>
      </c>
    </row>
  </sheetData>
  <phoneticPr fontId="2" type="noConversion"/>
  <pageMargins left="0.7" right="0.7" top="0.75" bottom="0.75" header="0.3" footer="0.3"/>
  <pageSetup paperSize="9" fitToWidth="0" fitToHeight="0" orientation="landscape" horizontalDpi="300" verticalDpi="300" r:id="rId1"/>
  <headerFooter scaleWithDoc="0" alignWithMargins="0">
    <oddHeader>&amp;Linputs/FY23_TLS&amp;C&amp;A&amp;R2022-03-01</oddHeader>
    <oddFooter>&amp;LNA&amp;C&amp;P&amp;RNA</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6038-6FD2-4C53-B066-F9AB988C9A91}">
  <dimension ref="A1:E22"/>
  <sheetViews>
    <sheetView workbookViewId="0">
      <selection activeCell="E2" sqref="E2:E4"/>
    </sheetView>
  </sheetViews>
  <sheetFormatPr defaultRowHeight="12.75"/>
  <cols>
    <col min="1" max="1" width="59" bestFit="1" customWidth="1"/>
    <col min="2" max="2" width="12.42578125" bestFit="1" customWidth="1"/>
    <col min="4" max="4" width="25.140625" bestFit="1" customWidth="1"/>
    <col min="5" max="5" width="9.85546875" bestFit="1" customWidth="1"/>
  </cols>
  <sheetData>
    <row r="1" spans="1:5" ht="15.75">
      <c r="A1" s="15" t="s">
        <v>115</v>
      </c>
      <c r="B1" s="18">
        <v>5680165</v>
      </c>
      <c r="D1" t="s">
        <v>116</v>
      </c>
      <c r="E1" s="20">
        <f>SUM(B1:B22)-SUM(E2:E4)</f>
        <v>38101326</v>
      </c>
    </row>
    <row r="2" spans="1:5" ht="15.75">
      <c r="A2" s="16" t="s">
        <v>117</v>
      </c>
      <c r="B2" s="19">
        <v>0</v>
      </c>
      <c r="D2" s="16" t="s">
        <v>54</v>
      </c>
      <c r="E2" s="20">
        <f>B10</f>
        <v>449260</v>
      </c>
    </row>
    <row r="3" spans="1:5" ht="15.75">
      <c r="A3" s="17" t="s">
        <v>118</v>
      </c>
      <c r="B3" s="18">
        <v>253497</v>
      </c>
      <c r="D3" s="15" t="s">
        <v>55</v>
      </c>
      <c r="E3" s="20">
        <f>B11</f>
        <v>623043</v>
      </c>
    </row>
    <row r="4" spans="1:5" ht="15.75">
      <c r="A4" s="16" t="s">
        <v>119</v>
      </c>
      <c r="B4" s="19">
        <v>7070159</v>
      </c>
      <c r="D4" t="s">
        <v>57</v>
      </c>
      <c r="E4" s="20">
        <f>2360135+2360135+889546</f>
        <v>5609816</v>
      </c>
    </row>
    <row r="5" spans="1:5" ht="15.75">
      <c r="A5" s="15" t="s">
        <v>120</v>
      </c>
      <c r="B5" s="18">
        <f>1485477-252678</f>
        <v>1232799</v>
      </c>
    </row>
    <row r="6" spans="1:5" ht="15.75">
      <c r="A6" s="16" t="s">
        <v>121</v>
      </c>
      <c r="B6" s="19">
        <v>2303656</v>
      </c>
    </row>
    <row r="7" spans="1:5" ht="15.75">
      <c r="A7" s="17" t="s">
        <v>122</v>
      </c>
      <c r="B7" s="18">
        <v>31489</v>
      </c>
    </row>
    <row r="8" spans="1:5" ht="15.75">
      <c r="A8" s="16" t="s">
        <v>123</v>
      </c>
      <c r="B8" s="19">
        <v>12902615</v>
      </c>
    </row>
    <row r="9" spans="1:5" ht="15.75">
      <c r="A9" s="15" t="s">
        <v>124</v>
      </c>
      <c r="B9" s="18">
        <v>200000</v>
      </c>
    </row>
    <row r="10" spans="1:5" ht="15.75">
      <c r="A10" s="16" t="s">
        <v>125</v>
      </c>
      <c r="B10" s="19">
        <v>449260</v>
      </c>
    </row>
    <row r="11" spans="1:5" ht="15.75">
      <c r="A11" s="15" t="s">
        <v>55</v>
      </c>
      <c r="B11" s="18">
        <v>623043</v>
      </c>
    </row>
    <row r="12" spans="1:5" ht="15.75">
      <c r="A12" s="16" t="s">
        <v>126</v>
      </c>
      <c r="B12" s="19">
        <f>701782+194305</f>
        <v>896087</v>
      </c>
    </row>
    <row r="13" spans="1:5" ht="15.75">
      <c r="A13" s="15" t="s">
        <v>127</v>
      </c>
      <c r="B13" s="18">
        <v>4396242</v>
      </c>
    </row>
    <row r="14" spans="1:5" ht="15.75">
      <c r="A14" s="16" t="s">
        <v>128</v>
      </c>
      <c r="B14" s="19">
        <v>2360135</v>
      </c>
    </row>
    <row r="15" spans="1:5" ht="15.75">
      <c r="A15" s="15" t="s">
        <v>129</v>
      </c>
      <c r="B15" s="18">
        <v>522794</v>
      </c>
    </row>
    <row r="16" spans="1:5" ht="15.75">
      <c r="A16" s="16" t="s">
        <v>130</v>
      </c>
      <c r="B16" s="19">
        <v>2360135</v>
      </c>
    </row>
    <row r="17" spans="1:2" ht="15.75">
      <c r="A17" s="17" t="s">
        <v>131</v>
      </c>
      <c r="B17" s="18">
        <v>0</v>
      </c>
    </row>
    <row r="18" spans="1:2" ht="15.75">
      <c r="A18" s="16" t="s">
        <v>132</v>
      </c>
      <c r="B18" s="19">
        <v>889546</v>
      </c>
    </row>
    <row r="19" spans="1:2" ht="15.75">
      <c r="A19" s="15" t="s">
        <v>133</v>
      </c>
      <c r="B19" s="18">
        <v>1213730</v>
      </c>
    </row>
    <row r="20" spans="1:2" ht="15.75">
      <c r="A20" s="16" t="s">
        <v>134</v>
      </c>
      <c r="B20" s="19">
        <v>455299</v>
      </c>
    </row>
    <row r="21" spans="1:2" ht="15.75">
      <c r="A21" s="15" t="s">
        <v>135</v>
      </c>
      <c r="B21" s="18">
        <v>468794</v>
      </c>
    </row>
    <row r="22" spans="1:2" ht="15.75">
      <c r="A22" s="16" t="s">
        <v>136</v>
      </c>
      <c r="B22" s="19">
        <v>474000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D4DB2-D4A3-41B9-97CE-985B40A3CBB0}">
  <dimension ref="A1:F7"/>
  <sheetViews>
    <sheetView workbookViewId="0">
      <selection activeCell="F1" sqref="F1:F5"/>
    </sheetView>
  </sheetViews>
  <sheetFormatPr defaultRowHeight="12.75"/>
  <cols>
    <col min="1" max="1" width="30.5703125" bestFit="1" customWidth="1"/>
    <col min="2" max="2" width="11.140625" bestFit="1" customWidth="1"/>
    <col min="5" max="5" width="26.85546875" bestFit="1" customWidth="1"/>
    <col min="6" max="6" width="11.140625" bestFit="1" customWidth="1"/>
  </cols>
  <sheetData>
    <row r="1" spans="1:6" ht="15.75">
      <c r="A1" s="15" t="s">
        <v>64</v>
      </c>
      <c r="B1" s="18">
        <v>2764027</v>
      </c>
      <c r="E1" t="s">
        <v>63</v>
      </c>
      <c r="F1" s="20">
        <f>B3+B4</f>
        <v>2565250</v>
      </c>
    </row>
    <row r="2" spans="1:6" ht="15.75">
      <c r="A2" s="16" t="s">
        <v>65</v>
      </c>
      <c r="B2" s="19">
        <v>532638</v>
      </c>
      <c r="E2" s="15" t="s">
        <v>64</v>
      </c>
      <c r="F2" s="18">
        <v>2764027</v>
      </c>
    </row>
    <row r="3" spans="1:6" ht="15.75">
      <c r="A3" s="15" t="s">
        <v>137</v>
      </c>
      <c r="B3" s="18">
        <v>102015</v>
      </c>
      <c r="E3" s="16" t="s">
        <v>65</v>
      </c>
      <c r="F3" s="19">
        <v>532638</v>
      </c>
    </row>
    <row r="4" spans="1:6" ht="15.75">
      <c r="A4" s="16" t="s">
        <v>138</v>
      </c>
      <c r="B4" s="19">
        <v>2463235</v>
      </c>
      <c r="E4" s="15" t="s">
        <v>66</v>
      </c>
      <c r="F4" s="18">
        <v>1724396</v>
      </c>
    </row>
    <row r="5" spans="1:6" ht="15.75">
      <c r="A5" s="15" t="s">
        <v>66</v>
      </c>
      <c r="B5" s="18">
        <v>1724396</v>
      </c>
      <c r="E5" s="16" t="s">
        <v>67</v>
      </c>
      <c r="F5" s="19">
        <v>2328507</v>
      </c>
    </row>
    <row r="6" spans="1:6" ht="15.75">
      <c r="A6" s="16" t="s">
        <v>67</v>
      </c>
      <c r="B6" s="19">
        <v>2328507</v>
      </c>
    </row>
    <row r="7" spans="1:6" ht="15.75">
      <c r="A7" s="15" t="s">
        <v>139</v>
      </c>
      <c r="B7" s="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56E8-F4F8-4053-AA6B-D67B464A441C}">
  <dimension ref="A1:F7"/>
  <sheetViews>
    <sheetView workbookViewId="0">
      <selection activeCell="F1" sqref="F1:F4"/>
    </sheetView>
  </sheetViews>
  <sheetFormatPr defaultRowHeight="12.75"/>
  <cols>
    <col min="1" max="1" width="43" bestFit="1" customWidth="1"/>
    <col min="2" max="2" width="11.140625" bestFit="1" customWidth="1"/>
    <col min="5" max="5" width="51.140625" bestFit="1" customWidth="1"/>
    <col min="6" max="6" width="11.140625" bestFit="1" customWidth="1"/>
  </cols>
  <sheetData>
    <row r="1" spans="1:6" ht="15.75">
      <c r="A1" s="15" t="s">
        <v>140</v>
      </c>
      <c r="B1" s="18">
        <v>238400</v>
      </c>
      <c r="E1" s="15" t="s">
        <v>70</v>
      </c>
      <c r="F1" s="18">
        <v>162635</v>
      </c>
    </row>
    <row r="2" spans="1:6" ht="15.75">
      <c r="A2" s="16" t="s">
        <v>141</v>
      </c>
      <c r="B2" s="19">
        <v>131630</v>
      </c>
      <c r="E2" s="16" t="s">
        <v>72</v>
      </c>
      <c r="F2" s="19">
        <v>309996</v>
      </c>
    </row>
    <row r="3" spans="1:6" ht="15.75">
      <c r="A3" s="15" t="s">
        <v>70</v>
      </c>
      <c r="B3" s="18">
        <v>162635</v>
      </c>
      <c r="E3" s="15" t="s">
        <v>142</v>
      </c>
      <c r="F3" s="18">
        <v>8219154</v>
      </c>
    </row>
    <row r="4" spans="1:6" ht="15.75">
      <c r="A4" s="16" t="s">
        <v>72</v>
      </c>
      <c r="B4" s="19">
        <v>309996</v>
      </c>
      <c r="E4" s="16" t="s">
        <v>78</v>
      </c>
      <c r="F4" s="19">
        <v>723322</v>
      </c>
    </row>
    <row r="5" spans="1:6" ht="15.75">
      <c r="A5" s="15" t="s">
        <v>143</v>
      </c>
      <c r="B5" s="18">
        <v>8219154</v>
      </c>
    </row>
    <row r="6" spans="1:6" ht="15.75">
      <c r="A6" s="16" t="s">
        <v>78</v>
      </c>
      <c r="B6" s="19">
        <v>723322</v>
      </c>
    </row>
    <row r="7" spans="1:6" ht="15.75">
      <c r="A7" s="15" t="s">
        <v>136</v>
      </c>
      <c r="B7" s="18">
        <v>500000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1B31-9F5C-4C98-B5ED-58D729E6B9DB}">
  <dimension ref="A1:A2"/>
  <sheetViews>
    <sheetView workbookViewId="0"/>
  </sheetViews>
  <sheetFormatPr defaultRowHeight="12.75"/>
  <cols>
    <col min="1" max="1" width="12" bestFit="1" customWidth="1"/>
  </cols>
  <sheetData>
    <row r="1" spans="1:1">
      <c r="A1" t="s">
        <v>144</v>
      </c>
    </row>
    <row r="2" spans="1:1">
      <c r="A2" t="s">
        <v>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8EAD07FFCD3441AB5413B96819AAD8" ma:contentTypeVersion="8" ma:contentTypeDescription="Create a new document." ma:contentTypeScope="" ma:versionID="a907b3a69422accebd711bb8b871ac59">
  <xsd:schema xmlns:xsd="http://www.w3.org/2001/XMLSchema" xmlns:xs="http://www.w3.org/2001/XMLSchema" xmlns:p="http://schemas.microsoft.com/office/2006/metadata/properties" xmlns:ns2="66ba857e-b5ea-42a5-ab49-6b461a55bf3b" xmlns:ns3="23aedd8a-ec72-402d-aad5-efecc27331b8" targetNamespace="http://schemas.microsoft.com/office/2006/metadata/properties" ma:root="true" ma:fieldsID="be281dd3f80576fd58fc659b39ada291" ns2:_="" ns3:_="">
    <xsd:import namespace="66ba857e-b5ea-42a5-ab49-6b461a55bf3b"/>
    <xsd:import namespace="23aedd8a-ec72-402d-aad5-efecc27331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a857e-b5ea-42a5-ab49-6b461a55bf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aedd8a-ec72-402d-aad5-efecc27331b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65CF10-7F45-4F93-95B4-D37B03BBEDD6}"/>
</file>

<file path=customXml/itemProps2.xml><?xml version="1.0" encoding="utf-8"?>
<ds:datastoreItem xmlns:ds="http://schemas.openxmlformats.org/officeDocument/2006/customXml" ds:itemID="{8486D596-7A42-4999-9E8E-59E7CBD3BEE8}"/>
</file>

<file path=customXml/itemProps3.xml><?xml version="1.0" encoding="utf-8"?>
<ds:datastoreItem xmlns:ds="http://schemas.openxmlformats.org/officeDocument/2006/customXml" ds:itemID="{8E166D4B-AE5A-48B7-9DC3-A0439BB57D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Sara.Brumfield2</dc:creator>
  <cp:keywords/>
  <dc:description/>
  <cp:lastModifiedBy/>
  <cp:revision/>
  <dcterms:created xsi:type="dcterms:W3CDTF">2022-03-01T09:44:16Z</dcterms:created>
  <dcterms:modified xsi:type="dcterms:W3CDTF">2022-03-03T20:01:25Z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0x010100258EAD07FFCD3441AB5413B96819AAD8</vt:lpwstr>
  </property>
</Properties>
</file>