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fd3659a8b061150/Desktop/Asset Allocation Assignment/"/>
    </mc:Choice>
  </mc:AlternateContent>
  <xr:revisionPtr revIDLastSave="14155" documentId="13_ncr:1_{516ACCC6-5ADE-364C-B116-A27EB55EC39C}" xr6:coauthVersionLast="47" xr6:coauthVersionMax="47" xr10:uidLastSave="{D1C0D1F1-383E-47E9-AE4A-D4440309E66A}"/>
  <bookViews>
    <workbookView xWindow="2453" yWindow="2453" windowWidth="16200" windowHeight="9307" xr2:uid="{00000000-000D-0000-FFFF-FFFF00000000}"/>
  </bookViews>
  <sheets>
    <sheet name="Data" sheetId="14" r:id="rId1"/>
    <sheet name="Efficient Frontier" sheetId="9" r:id="rId2"/>
    <sheet name="Optimal Allocation" sheetId="15" r:id="rId3"/>
  </sheets>
  <definedNames>
    <definedName name="_xlnm.Print_Area" localSheetId="1">'Efficient Frontier'!$B$24:$K$37</definedName>
    <definedName name="_xlnm.Print_Area" localSheetId="2">'Optimal Allocation'!$B$24:$K$43</definedName>
    <definedName name="solver_adj" localSheetId="1" hidden="1">'Efficient Frontier'!#REF!</definedName>
    <definedName name="solver_adj" localSheetId="2" hidden="1">'Optimal Allocation'!$O$30:$R$30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100</definedName>
    <definedName name="solver_itr" localSheetId="2" hidden="1">100</definedName>
    <definedName name="solver_lhs1" localSheetId="1" hidden="1">'Efficient Frontier'!#REF!</definedName>
    <definedName name="solver_lhs1" localSheetId="2" hidden="1">'Optimal Allocation'!$U$30</definedName>
    <definedName name="solver_lhs10" localSheetId="1" hidden="1">'Efficient Frontier'!#REF!</definedName>
    <definedName name="solver_lhs10" localSheetId="2" hidden="1">'Optimal Allocation'!#REF!</definedName>
    <definedName name="solver_lhs11" localSheetId="1" hidden="1">'Efficient Frontier'!#REF!</definedName>
    <definedName name="solver_lhs11" localSheetId="2" hidden="1">'Optimal Allocation'!#REF!</definedName>
    <definedName name="solver_lhs12" localSheetId="1" hidden="1">'Efficient Frontier'!#REF!</definedName>
    <definedName name="solver_lhs12" localSheetId="2" hidden="1">'Optimal Allocation'!#REF!</definedName>
    <definedName name="solver_lhs13" localSheetId="1" hidden="1">'Efficient Frontier'!#REF!</definedName>
    <definedName name="solver_lhs13" localSheetId="2" hidden="1">'Optimal Allocation'!#REF!</definedName>
    <definedName name="solver_lhs14" localSheetId="1" hidden="1">'Efficient Frontier'!#REF!</definedName>
    <definedName name="solver_lhs14" localSheetId="2" hidden="1">'Optimal Allocation'!#REF!</definedName>
    <definedName name="solver_lhs15" localSheetId="1" hidden="1">'Efficient Frontier'!#REF!</definedName>
    <definedName name="solver_lhs15" localSheetId="2" hidden="1">'Optimal Allocation'!#REF!</definedName>
    <definedName name="solver_lhs16" localSheetId="1" hidden="1">'Efficient Frontier'!#REF!</definedName>
    <definedName name="solver_lhs16" localSheetId="2" hidden="1">'Optimal Allocation'!#REF!</definedName>
    <definedName name="solver_lhs17" localSheetId="1" hidden="1">'Efficient Frontier'!#REF!</definedName>
    <definedName name="solver_lhs17" localSheetId="2" hidden="1">'Optimal Allocation'!#REF!</definedName>
    <definedName name="solver_lhs18" localSheetId="1" hidden="1">'Efficient Frontier'!#REF!</definedName>
    <definedName name="solver_lhs18" localSheetId="2" hidden="1">'Optimal Allocation'!#REF!</definedName>
    <definedName name="solver_lhs2" localSheetId="1" hidden="1">'Efficient Frontier'!$U$26</definedName>
    <definedName name="solver_lhs2" localSheetId="2" hidden="1">'Optimal Allocation'!$U$31</definedName>
    <definedName name="solver_lhs3" localSheetId="1" hidden="1">'Efficient Frontier'!#REF!</definedName>
    <definedName name="solver_lhs3" localSheetId="2" hidden="1">'Optimal Allocation'!$U$31</definedName>
    <definedName name="solver_lhs4" localSheetId="1" hidden="1">'Efficient Frontier'!#REF!</definedName>
    <definedName name="solver_lhs4" localSheetId="2" hidden="1">'Optimal Allocation'!$U$31</definedName>
    <definedName name="solver_lhs5" localSheetId="1" hidden="1">'Efficient Frontier'!#REF!</definedName>
    <definedName name="solver_lhs5" localSheetId="2" hidden="1">'Optimal Allocation'!$U$31</definedName>
    <definedName name="solver_lhs6" localSheetId="1" hidden="1">'Efficient Frontier'!#REF!</definedName>
    <definedName name="solver_lhs6" localSheetId="2" hidden="1">'Optimal Allocation'!$U$31</definedName>
    <definedName name="solver_lhs7" localSheetId="1" hidden="1">'Efficient Frontier'!#REF!</definedName>
    <definedName name="solver_lhs7" localSheetId="2" hidden="1">'Optimal Allocation'!$X$31</definedName>
    <definedName name="solver_lhs8" localSheetId="1" hidden="1">'Efficient Frontier'!#REF!</definedName>
    <definedName name="solver_lhs8" localSheetId="2" hidden="1">'Optimal Allocation'!#REF!</definedName>
    <definedName name="solver_lhs9" localSheetId="1" hidden="1">'Efficient Frontier'!#REF!</definedName>
    <definedName name="solver_lhs9" localSheetId="2" hidden="1">'Optimal Allocation'!#REF!</definedName>
    <definedName name="solver_lin" localSheetId="1" hidden="1">2</definedName>
    <definedName name="solver_lin" localSheetId="2" hidden="1">2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2</definedName>
    <definedName name="solver_neg" localSheetId="2" hidden="1">2</definedName>
    <definedName name="solver_nod" localSheetId="1" hidden="1">2147483647</definedName>
    <definedName name="solver_nod" localSheetId="2" hidden="1">2147483647</definedName>
    <definedName name="solver_num" localSheetId="1" hidden="1">1</definedName>
    <definedName name="solver_num" localSheetId="2" hidden="1">1</definedName>
    <definedName name="solver_nwt" localSheetId="1" hidden="1">1</definedName>
    <definedName name="solver_nwt" localSheetId="2" hidden="1">1</definedName>
    <definedName name="solver_opt" localSheetId="1" hidden="1">'Efficient Frontier'!#REF!</definedName>
    <definedName name="solver_opt" localSheetId="2" hidden="1">'Optimal Allocation'!$X$30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2</definedName>
    <definedName name="solver_rel1" localSheetId="2" hidden="1">2</definedName>
    <definedName name="solver_rel10" localSheetId="1" hidden="1">3</definedName>
    <definedName name="solver_rel10" localSheetId="2" hidden="1">3</definedName>
    <definedName name="solver_rel11" localSheetId="1" hidden="1">1</definedName>
    <definedName name="solver_rel11" localSheetId="2" hidden="1">1</definedName>
    <definedName name="solver_rel12" localSheetId="1" hidden="1">3</definedName>
    <definedName name="solver_rel12" localSheetId="2" hidden="1">3</definedName>
    <definedName name="solver_rel13" localSheetId="1" hidden="1">1</definedName>
    <definedName name="solver_rel13" localSheetId="2" hidden="1">1</definedName>
    <definedName name="solver_rel14" localSheetId="1" hidden="1">3</definedName>
    <definedName name="solver_rel14" localSheetId="2" hidden="1">3</definedName>
    <definedName name="solver_rel15" localSheetId="1" hidden="1">1</definedName>
    <definedName name="solver_rel15" localSheetId="2" hidden="1">1</definedName>
    <definedName name="solver_rel16" localSheetId="1" hidden="1">3</definedName>
    <definedName name="solver_rel16" localSheetId="2" hidden="1">3</definedName>
    <definedName name="solver_rel17" localSheetId="1" hidden="1">2</definedName>
    <definedName name="solver_rel17" localSheetId="2" hidden="1">2</definedName>
    <definedName name="solver_rel18" localSheetId="1" hidden="1">2</definedName>
    <definedName name="solver_rel18" localSheetId="2" hidden="1">2</definedName>
    <definedName name="solver_rel2" localSheetId="1" hidden="1">2</definedName>
    <definedName name="solver_rel2" localSheetId="2" hidden="1">2</definedName>
    <definedName name="solver_rel3" localSheetId="1" hidden="1">2</definedName>
    <definedName name="solver_rel3" localSheetId="2" hidden="1">2</definedName>
    <definedName name="solver_rel4" localSheetId="1" hidden="1">3</definedName>
    <definedName name="solver_rel4" localSheetId="2" hidden="1">2</definedName>
    <definedName name="solver_rel5" localSheetId="1" hidden="1">1</definedName>
    <definedName name="solver_rel5" localSheetId="2" hidden="1">2</definedName>
    <definedName name="solver_rel6" localSheetId="1" hidden="1">3</definedName>
    <definedName name="solver_rel6" localSheetId="2" hidden="1">2</definedName>
    <definedName name="solver_rel7" localSheetId="1" hidden="1">1</definedName>
    <definedName name="solver_rel7" localSheetId="2" hidden="1">2</definedName>
    <definedName name="solver_rel8" localSheetId="1" hidden="1">3</definedName>
    <definedName name="solver_rel8" localSheetId="2" hidden="1">3</definedName>
    <definedName name="solver_rel9" localSheetId="1" hidden="1">1</definedName>
    <definedName name="solver_rel9" localSheetId="2" hidden="1">1</definedName>
    <definedName name="solver_rhs1" localSheetId="1" hidden="1">'Efficient Frontier'!$X$26</definedName>
    <definedName name="solver_rhs1" localSheetId="2" hidden="1">1</definedName>
    <definedName name="solver_rhs10" localSheetId="1" hidden="1">0</definedName>
    <definedName name="solver_rhs10" localSheetId="2" hidden="1">0</definedName>
    <definedName name="solver_rhs11" localSheetId="1" hidden="1">1</definedName>
    <definedName name="solver_rhs11" localSheetId="2" hidden="1">1</definedName>
    <definedName name="solver_rhs12" localSheetId="1" hidden="1">0</definedName>
    <definedName name="solver_rhs12" localSheetId="2" hidden="1">0</definedName>
    <definedName name="solver_rhs13" localSheetId="1" hidden="1">1</definedName>
    <definedName name="solver_rhs13" localSheetId="2" hidden="1">1</definedName>
    <definedName name="solver_rhs14" localSheetId="1" hidden="1">0</definedName>
    <definedName name="solver_rhs14" localSheetId="2" hidden="1">0</definedName>
    <definedName name="solver_rhs15" localSheetId="1" hidden="1">1</definedName>
    <definedName name="solver_rhs15" localSheetId="2" hidden="1">1</definedName>
    <definedName name="solver_rhs16" localSheetId="1" hidden="1">0</definedName>
    <definedName name="solver_rhs16" localSheetId="2" hidden="1">0</definedName>
    <definedName name="solver_rhs17" localSheetId="1" hidden="1">1</definedName>
    <definedName name="solver_rhs17" localSheetId="2" hidden="1">1</definedName>
    <definedName name="solver_rhs18" localSheetId="1" hidden="1">12</definedName>
    <definedName name="solver_rhs18" localSheetId="2" hidden="1">12</definedName>
    <definedName name="solver_rhs2" localSheetId="1" hidden="1">1</definedName>
    <definedName name="solver_rhs2" localSheetId="2" hidden="1">1</definedName>
    <definedName name="solver_rhs3" localSheetId="1" hidden="1">11.24</definedName>
    <definedName name="solver_rhs3" localSheetId="2" hidden="1">1</definedName>
    <definedName name="solver_rhs4" localSheetId="1" hidden="1">0</definedName>
    <definedName name="solver_rhs4" localSheetId="2" hidden="1">1</definedName>
    <definedName name="solver_rhs5" localSheetId="1" hidden="1">1</definedName>
    <definedName name="solver_rhs5" localSheetId="2" hidden="1">1</definedName>
    <definedName name="solver_rhs6" localSheetId="1" hidden="1">0</definedName>
    <definedName name="solver_rhs6" localSheetId="2" hidden="1">1</definedName>
    <definedName name="solver_rhs7" localSheetId="1" hidden="1">1</definedName>
    <definedName name="solver_rhs7" localSheetId="2" hidden="1">'Optimal Allocation'!#REF!</definedName>
    <definedName name="solver_rhs8" localSheetId="1" hidden="1">0</definedName>
    <definedName name="solver_rhs8" localSheetId="2" hidden="1">0</definedName>
    <definedName name="solver_rhs9" localSheetId="1" hidden="1">1</definedName>
    <definedName name="solver_rhs9" localSheetId="2" hidden="1">1</definedName>
    <definedName name="solver_rlx" localSheetId="1" hidden="1">1</definedName>
    <definedName name="solver_rlx" localSheetId="2" hidden="1">1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2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100</definedName>
    <definedName name="solver_tim" localSheetId="2" hidden="1">100</definedName>
    <definedName name="solver_tol" localSheetId="1" hidden="1">0.05</definedName>
    <definedName name="solver_tol" localSheetId="2" hidden="1">0.05</definedName>
    <definedName name="solver_typ" localSheetId="1" hidden="1">3</definedName>
    <definedName name="solver_typ" localSheetId="2" hidden="1">3</definedName>
    <definedName name="solver_val" localSheetId="1" hidden="1">0.2</definedName>
    <definedName name="solver_val" localSheetId="2" hidden="1">0.81232</definedName>
    <definedName name="solver_ver" localSheetId="1" hidden="1">3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15" l="1"/>
  <c r="F42" i="15"/>
  <c r="E42" i="15"/>
  <c r="D42" i="15"/>
  <c r="AD31" i="15" l="1"/>
  <c r="AC31" i="15"/>
  <c r="AB31" i="15"/>
  <c r="AA31" i="15"/>
  <c r="Z31" i="15"/>
  <c r="AD30" i="15"/>
  <c r="AC30" i="15"/>
  <c r="AB30" i="15"/>
  <c r="AA30" i="15"/>
  <c r="Z30" i="15"/>
  <c r="AD29" i="15"/>
  <c r="AC29" i="15"/>
  <c r="AB29" i="15"/>
  <c r="AA29" i="15"/>
  <c r="Z29" i="15"/>
  <c r="AD28" i="15"/>
  <c r="AC28" i="15"/>
  <c r="AB28" i="15"/>
  <c r="AA28" i="15"/>
  <c r="Z28" i="15"/>
  <c r="AD27" i="15"/>
  <c r="AC27" i="15"/>
  <c r="AB27" i="15"/>
  <c r="AA27" i="15"/>
  <c r="Z27" i="15"/>
  <c r="U31" i="15"/>
  <c r="N124" i="14"/>
  <c r="M124" i="14"/>
  <c r="L124" i="14"/>
  <c r="K124" i="14"/>
  <c r="J124" i="14"/>
  <c r="N112" i="14"/>
  <c r="M112" i="14"/>
  <c r="L112" i="14"/>
  <c r="K112" i="14"/>
  <c r="J112" i="14"/>
  <c r="N100" i="14"/>
  <c r="M100" i="14"/>
  <c r="L100" i="14"/>
  <c r="K100" i="14"/>
  <c r="J100" i="14"/>
  <c r="N88" i="14"/>
  <c r="M88" i="14"/>
  <c r="L88" i="14"/>
  <c r="K88" i="14"/>
  <c r="J88" i="14"/>
  <c r="N76" i="14"/>
  <c r="M76" i="14"/>
  <c r="L76" i="14"/>
  <c r="K76" i="14"/>
  <c r="J76" i="14"/>
  <c r="N64" i="14"/>
  <c r="M64" i="14"/>
  <c r="L64" i="14"/>
  <c r="K64" i="14"/>
  <c r="J64" i="14"/>
  <c r="N52" i="14"/>
  <c r="M52" i="14"/>
  <c r="L52" i="14"/>
  <c r="K52" i="14"/>
  <c r="J52" i="14"/>
  <c r="N40" i="14"/>
  <c r="M40" i="14"/>
  <c r="M130" i="14" s="1"/>
  <c r="L40" i="14"/>
  <c r="K40" i="14"/>
  <c r="J40" i="14"/>
  <c r="N28" i="14"/>
  <c r="M28" i="14"/>
  <c r="L28" i="14"/>
  <c r="K28" i="14"/>
  <c r="J28" i="14"/>
  <c r="N16" i="14"/>
  <c r="M16" i="14"/>
  <c r="L16" i="14"/>
  <c r="K16" i="14"/>
  <c r="J16" i="14"/>
  <c r="AE29" i="15" l="1"/>
  <c r="AF29" i="15"/>
  <c r="AF30" i="15"/>
  <c r="AG29" i="15"/>
  <c r="AG30" i="15"/>
  <c r="AH30" i="15"/>
  <c r="AE30" i="15"/>
  <c r="AH29" i="15"/>
  <c r="AE28" i="15"/>
  <c r="AF28" i="15"/>
  <c r="AH28" i="15"/>
  <c r="AG28" i="15"/>
  <c r="N130" i="14"/>
  <c r="J127" i="14"/>
  <c r="K127" i="14"/>
  <c r="L127" i="14"/>
  <c r="J130" i="14"/>
  <c r="M127" i="14"/>
  <c r="K130" i="14"/>
  <c r="N127" i="14"/>
  <c r="L130" i="14"/>
  <c r="U27" i="15"/>
  <c r="J42" i="15" s="1"/>
  <c r="U30" i="15"/>
  <c r="U29" i="15"/>
  <c r="U28" i="15"/>
  <c r="J41" i="15"/>
  <c r="J40" i="15"/>
  <c r="J39" i="15"/>
  <c r="J38" i="15"/>
  <c r="J37" i="15"/>
  <c r="J36" i="15"/>
  <c r="J35" i="15"/>
  <c r="J34" i="15"/>
  <c r="J33" i="15"/>
  <c r="J32" i="15"/>
  <c r="J31" i="15"/>
  <c r="J30" i="15"/>
  <c r="J29" i="15"/>
  <c r="J28" i="15"/>
  <c r="J27" i="15"/>
  <c r="J36" i="9"/>
  <c r="J35" i="9"/>
  <c r="J34" i="9"/>
  <c r="J33" i="9"/>
  <c r="J32" i="9"/>
  <c r="J31" i="9"/>
  <c r="J30" i="9"/>
  <c r="J29" i="9"/>
  <c r="J28" i="9"/>
  <c r="J27" i="9"/>
  <c r="G137" i="14" l="1"/>
  <c r="F136" i="14"/>
  <c r="E135" i="14"/>
  <c r="D134" i="14"/>
  <c r="F137" i="14"/>
  <c r="G136" i="14"/>
  <c r="E137" i="14"/>
  <c r="G135" i="14"/>
  <c r="F13" i="9" s="1"/>
  <c r="D137" i="14"/>
  <c r="G134" i="14"/>
  <c r="E136" i="14"/>
  <c r="F135" i="14"/>
  <c r="D136" i="14"/>
  <c r="C14" i="9" s="1"/>
  <c r="F134" i="14"/>
  <c r="D135" i="14"/>
  <c r="E134" i="14"/>
  <c r="G129" i="14"/>
  <c r="G130" i="14" s="1"/>
  <c r="F129" i="14"/>
  <c r="F130" i="14" s="1"/>
  <c r="E129" i="14"/>
  <c r="E130" i="14" s="1"/>
  <c r="D129" i="14"/>
  <c r="D130" i="14" s="1"/>
  <c r="C129" i="14"/>
  <c r="C130" i="14" s="1"/>
  <c r="G126" i="14"/>
  <c r="G127" i="14" s="1"/>
  <c r="F126" i="14"/>
  <c r="F127" i="14" s="1"/>
  <c r="E126" i="14"/>
  <c r="E127" i="14" s="1"/>
  <c r="D126" i="14"/>
  <c r="D127" i="14" s="1"/>
  <c r="C126" i="14"/>
  <c r="C127" i="14" s="1"/>
  <c r="D4" i="9" l="1"/>
  <c r="D4" i="15"/>
  <c r="D5" i="9"/>
  <c r="C19" i="9" s="1"/>
  <c r="D5" i="15"/>
  <c r="D6" i="15"/>
  <c r="D20" i="15" s="1"/>
  <c r="D6" i="9"/>
  <c r="D20" i="9" s="1"/>
  <c r="C4" i="15"/>
  <c r="C4" i="9"/>
  <c r="E12" i="9"/>
  <c r="E12" i="15"/>
  <c r="E13" i="9"/>
  <c r="E13" i="15"/>
  <c r="C5" i="15"/>
  <c r="D7" i="9"/>
  <c r="C21" i="9" s="1"/>
  <c r="D7" i="15"/>
  <c r="E21" i="15" s="1"/>
  <c r="C6" i="9"/>
  <c r="C6" i="15"/>
  <c r="D8" i="9"/>
  <c r="F22" i="9" s="1"/>
  <c r="D8" i="15"/>
  <c r="F22" i="15" s="1"/>
  <c r="C7" i="9"/>
  <c r="C7" i="15"/>
  <c r="C5" i="9"/>
  <c r="C8" i="9"/>
  <c r="C8" i="15"/>
  <c r="D14" i="9"/>
  <c r="D14" i="15"/>
  <c r="F12" i="15"/>
  <c r="F12" i="9"/>
  <c r="C13" i="9"/>
  <c r="C13" i="15"/>
  <c r="C20" i="15" s="1"/>
  <c r="C15" i="9"/>
  <c r="C22" i="9" s="1"/>
  <c r="C15" i="15"/>
  <c r="F13" i="15"/>
  <c r="D15" i="9"/>
  <c r="D15" i="15"/>
  <c r="F14" i="9"/>
  <c r="F14" i="15"/>
  <c r="E15" i="9"/>
  <c r="E15" i="15"/>
  <c r="D12" i="9"/>
  <c r="D12" i="15"/>
  <c r="C14" i="15"/>
  <c r="F19" i="9" l="1"/>
  <c r="E22" i="9"/>
  <c r="E22" i="15"/>
  <c r="E21" i="9"/>
  <c r="D21" i="9"/>
  <c r="D22" i="9"/>
  <c r="I28" i="9"/>
  <c r="C20" i="9"/>
  <c r="I35" i="9"/>
  <c r="I36" i="9"/>
  <c r="I27" i="9"/>
  <c r="F19" i="15"/>
  <c r="V31" i="15" a="1"/>
  <c r="V31" i="15" s="1"/>
  <c r="V27" i="15" a="1"/>
  <c r="V27" i="15" s="1"/>
  <c r="T31" i="15"/>
  <c r="C51" i="15" s="1"/>
  <c r="V29" i="15" a="1"/>
  <c r="V29" i="15" s="1"/>
  <c r="V30" i="15" a="1"/>
  <c r="V30" i="15" s="1"/>
  <c r="T28" i="15"/>
  <c r="C48" i="15" s="1"/>
  <c r="T29" i="15"/>
  <c r="C49" i="15" s="1"/>
  <c r="V28" i="15" a="1"/>
  <c r="V28" i="15" s="1"/>
  <c r="T30" i="15"/>
  <c r="C50" i="15" s="1"/>
  <c r="T27" i="15"/>
  <c r="F21" i="15"/>
  <c r="I28" i="15"/>
  <c r="I29" i="15"/>
  <c r="I30" i="15"/>
  <c r="I31" i="15"/>
  <c r="I34" i="15"/>
  <c r="I37" i="15"/>
  <c r="I40" i="15"/>
  <c r="I32" i="15"/>
  <c r="I33" i="15"/>
  <c r="I38" i="15"/>
  <c r="I36" i="15"/>
  <c r="I27" i="15"/>
  <c r="I35" i="15"/>
  <c r="I41" i="15"/>
  <c r="I39" i="15"/>
  <c r="I34" i="9"/>
  <c r="D21" i="15"/>
  <c r="E19" i="15"/>
  <c r="F21" i="9"/>
  <c r="F20" i="9"/>
  <c r="I30" i="9"/>
  <c r="E20" i="9"/>
  <c r="I31" i="9"/>
  <c r="E20" i="15"/>
  <c r="E19" i="9"/>
  <c r="C19" i="15"/>
  <c r="I33" i="9"/>
  <c r="C21" i="15"/>
  <c r="D19" i="15"/>
  <c r="F20" i="15"/>
  <c r="D19" i="9"/>
  <c r="I29" i="9"/>
  <c r="I32" i="9"/>
  <c r="D22" i="15"/>
  <c r="C22" i="15"/>
  <c r="I42" i="15" l="1"/>
  <c r="B42" i="15"/>
  <c r="C47" i="15"/>
  <c r="W29" i="15" a="1"/>
  <c r="W29" i="15" s="1"/>
  <c r="W31" i="15" a="1"/>
  <c r="W31" i="15" s="1"/>
  <c r="X31" i="15" s="1"/>
  <c r="W30" i="15" a="1"/>
  <c r="W30" i="15" s="1"/>
  <c r="M28" i="15" a="1"/>
  <c r="M28" i="15" s="1"/>
  <c r="W28" i="15" a="1"/>
  <c r="W28" i="15" s="1"/>
  <c r="W27" i="15" a="1"/>
  <c r="W27" i="15" s="1"/>
  <c r="X27" i="15" s="1"/>
  <c r="C29" i="9" a="1"/>
  <c r="C29" i="9" s="1"/>
  <c r="C30" i="9" a="1"/>
  <c r="C30" i="9" s="1"/>
  <c r="C32" i="9" a="1"/>
  <c r="C32" i="9" s="1"/>
  <c r="C28" i="9" a="1"/>
  <c r="C28" i="9" s="1"/>
  <c r="C39" i="15" a="1"/>
  <c r="C39" i="15" s="1"/>
  <c r="C41" i="15" a="1"/>
  <c r="C41" i="15" s="1"/>
  <c r="C36" i="15" a="1"/>
  <c r="C36" i="15" s="1"/>
  <c r="C29" i="15" a="1"/>
  <c r="C29" i="15" s="1"/>
  <c r="M30" i="15" a="1"/>
  <c r="M30" i="15" s="1"/>
  <c r="D50" i="15" s="1"/>
  <c r="C32" i="15" a="1"/>
  <c r="C32" i="15" s="1"/>
  <c r="C28" i="15" a="1"/>
  <c r="C28" i="15" s="1"/>
  <c r="M27" i="15" a="1"/>
  <c r="M27" i="15" s="1"/>
  <c r="C33" i="15" a="1"/>
  <c r="C33" i="15" s="1"/>
  <c r="D48" i="15"/>
  <c r="M29" i="15" a="1"/>
  <c r="M29" i="15" s="1"/>
  <c r="D49" i="15" s="1"/>
  <c r="C37" i="15" a="1"/>
  <c r="C37" i="15" s="1"/>
  <c r="C27" i="15" a="1"/>
  <c r="C27" i="15" s="1"/>
  <c r="C31" i="15" a="1"/>
  <c r="C31" i="15" s="1"/>
  <c r="C34" i="15" a="1"/>
  <c r="C34" i="15" s="1"/>
  <c r="M31" i="15" a="1"/>
  <c r="M31" i="15" s="1"/>
  <c r="D51" i="15" s="1"/>
  <c r="X30" i="15"/>
  <c r="C30" i="15" a="1"/>
  <c r="C30" i="15" s="1"/>
  <c r="C35" i="15" a="1"/>
  <c r="C35" i="15" s="1"/>
  <c r="C40" i="15" a="1"/>
  <c r="C40" i="15" s="1"/>
  <c r="C38" i="15" a="1"/>
  <c r="C38" i="15" s="1"/>
  <c r="X28" i="15"/>
  <c r="X29" i="15"/>
  <c r="C33" i="9" a="1"/>
  <c r="C33" i="9" s="1"/>
  <c r="C34" i="9" a="1"/>
  <c r="C34" i="9" s="1"/>
  <c r="C35" i="9" a="1"/>
  <c r="C35" i="9" s="1"/>
  <c r="C27" i="9" a="1"/>
  <c r="C27" i="9" s="1"/>
  <c r="C31" i="9" a="1"/>
  <c r="C31" i="9" s="1"/>
  <c r="C36" i="9" a="1"/>
  <c r="C36" i="9" s="1"/>
  <c r="C42" i="15" l="1"/>
  <c r="D4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<sst xmlns="http://schemas.openxmlformats.org/spreadsheetml/2006/main" count="142" uniqueCount="48">
  <si>
    <t>Date</t>
  </si>
  <si>
    <t>Mean</t>
  </si>
  <si>
    <t xml:space="preserve"> </t>
  </si>
  <si>
    <t xml:space="preserve"> Covariance Matrix</t>
  </si>
  <si>
    <t>Weights</t>
  </si>
  <si>
    <t>Port Mean</t>
  </si>
  <si>
    <t>St. Dev</t>
  </si>
  <si>
    <t>Correlation Matrix</t>
  </si>
  <si>
    <t xml:space="preserve">U.S. 30 Day TBill TR </t>
  </si>
  <si>
    <t xml:space="preserve">Russell 2000 TR </t>
  </si>
  <si>
    <t xml:space="preserve">S&amp;P 500 TR </t>
  </si>
  <si>
    <t xml:space="preserve">LB LT Gvt/Credit TR </t>
  </si>
  <si>
    <t xml:space="preserve">MSCI EAFE TR </t>
  </si>
  <si>
    <t>Std. Dev</t>
  </si>
  <si>
    <t>S&amp;P 500</t>
  </si>
  <si>
    <t>Russell</t>
  </si>
  <si>
    <t>LT Bond</t>
  </si>
  <si>
    <t>EAFE</t>
  </si>
  <si>
    <t xml:space="preserve">  Annual</t>
  </si>
  <si>
    <t>Indexes</t>
  </si>
  <si>
    <t>Efficient Frontier for average U.S. Investor</t>
  </si>
  <si>
    <t>Russell 2000 (RUS)</t>
  </si>
  <si>
    <t>S&amp;P 500 (S&amp;P)</t>
  </si>
  <si>
    <t>LB Bond (LBB)</t>
  </si>
  <si>
    <t>EAFE (EAFE)</t>
  </si>
  <si>
    <t>RUS</t>
  </si>
  <si>
    <t>S&amp;P</t>
  </si>
  <si>
    <t>LBB</t>
  </si>
  <si>
    <t>Target Port Mean</t>
  </si>
  <si>
    <t xml:space="preserve">Sum of </t>
  </si>
  <si>
    <t>Port wgts.</t>
  </si>
  <si>
    <t>Risk free</t>
  </si>
  <si>
    <t>Returns (%)</t>
  </si>
  <si>
    <t>S.D. (%)</t>
  </si>
  <si>
    <t>Monthly Time Series Data of Major Indexes</t>
  </si>
  <si>
    <t>Return</t>
  </si>
  <si>
    <t>Sum Wgt</t>
  </si>
  <si>
    <t>Sharpe</t>
  </si>
  <si>
    <t>Alex</t>
  </si>
  <si>
    <t>Roberto</t>
  </si>
  <si>
    <t>Cathy</t>
  </si>
  <si>
    <t>Risk-free</t>
  </si>
  <si>
    <t>Tangent Portfolio</t>
  </si>
  <si>
    <t>Tangent</t>
  </si>
  <si>
    <t>Group 1</t>
  </si>
  <si>
    <t>Efficient Frontier</t>
  </si>
  <si>
    <t>Dollar Investment</t>
  </si>
  <si>
    <t>Composition of Risky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</si>
</sst>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.0"/>
    <numFmt numFmtId="165" formatCode="0.000"/>
    <numFmt numFmtId="166" formatCode="0.000000"/>
    <numFmt numFmtId="167" formatCode="0.0000%"/>
    <numFmt numFmtId="168" formatCode="0.0000"/>
    <numFmt numFmtId="169" formatCode="0.00000"/>
  </numFmts>
  <fonts count="7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2" fontId="0" fillId="0" borderId="0" xfId="0" applyNumberFormat="1"/>
    <xf numFmtId="2" fontId="0" fillId="0" borderId="1" xfId="0" applyNumberFormat="1" applyBorder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1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165" fontId="0" fillId="3" borderId="5" xfId="0" applyNumberFormat="1" applyFill="1" applyBorder="1" applyAlignment="1">
      <alignment horizontal="center"/>
    </xf>
    <xf numFmtId="165" fontId="0" fillId="3" borderId="6" xfId="0" applyNumberFormat="1" applyFill="1" applyBorder="1" applyAlignment="1">
      <alignment horizontal="center"/>
    </xf>
    <xf numFmtId="165" fontId="0" fillId="3" borderId="8" xfId="0" applyNumberFormat="1" applyFill="1" applyBorder="1" applyAlignment="1">
      <alignment horizontal="center"/>
    </xf>
    <xf numFmtId="165" fontId="0" fillId="3" borderId="0" xfId="0" applyNumberFormat="1" applyFill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165" fontId="0" fillId="3" borderId="4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4" fillId="0" borderId="10" xfId="0" applyFont="1" applyBorder="1"/>
    <xf numFmtId="0" fontId="4" fillId="0" borderId="10" xfId="0" applyFont="1" applyBorder="1" applyAlignment="1">
      <alignment wrapText="1"/>
    </xf>
    <xf numFmtId="0" fontId="0" fillId="0" borderId="2" xfId="0" applyBorder="1"/>
    <xf numFmtId="165" fontId="0" fillId="0" borderId="1" xfId="0" applyNumberFormat="1" applyBorder="1"/>
    <xf numFmtId="0" fontId="6" fillId="0" borderId="0" xfId="0" applyFont="1"/>
    <xf numFmtId="164" fontId="6" fillId="2" borderId="0" xfId="0" applyNumberFormat="1" applyFont="1" applyFill="1"/>
    <xf numFmtId="164" fontId="0" fillId="2" borderId="0" xfId="1" applyNumberFormat="1" applyFont="1" applyFill="1"/>
    <xf numFmtId="165" fontId="0" fillId="3" borderId="0" xfId="0" applyNumberFormat="1" applyFill="1"/>
    <xf numFmtId="165" fontId="0" fillId="3" borderId="1" xfId="0" applyNumberFormat="1" applyFill="1" applyBorder="1"/>
    <xf numFmtId="164" fontId="0" fillId="4" borderId="0" xfId="0" applyNumberFormat="1" applyFill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5" borderId="0" xfId="0" applyFill="1"/>
    <xf numFmtId="0" fontId="0" fillId="5" borderId="1" xfId="0" applyFill="1" applyBorder="1"/>
    <xf numFmtId="166" fontId="0" fillId="0" borderId="0" xfId="0" applyNumberFormat="1"/>
    <xf numFmtId="165" fontId="0" fillId="3" borderId="3" xfId="0" applyNumberFormat="1" applyFill="1" applyBorder="1" applyAlignment="1">
      <alignment horizontal="center"/>
    </xf>
    <xf numFmtId="165" fontId="0" fillId="3" borderId="7" xfId="0" applyNumberFormat="1" applyFill="1" applyBorder="1" applyAlignment="1">
      <alignment horizontal="center"/>
    </xf>
    <xf numFmtId="167" fontId="1" fillId="2" borderId="5" xfId="1" applyNumberFormat="1" applyFont="1" applyFill="1" applyBorder="1" applyAlignment="1">
      <alignment horizontal="center"/>
    </xf>
    <xf numFmtId="167" fontId="1" fillId="2" borderId="6" xfId="1" applyNumberFormat="1" applyFont="1" applyFill="1" applyBorder="1" applyAlignment="1">
      <alignment horizontal="center"/>
    </xf>
    <xf numFmtId="167" fontId="1" fillId="2" borderId="1" xfId="1" applyNumberFormat="1" applyFont="1" applyFill="1" applyBorder="1" applyAlignment="1">
      <alignment horizontal="center"/>
    </xf>
    <xf numFmtId="167" fontId="1" fillId="2" borderId="7" xfId="1" applyNumberFormat="1" applyFont="1" applyFill="1" applyBorder="1" applyAlignment="1">
      <alignment horizontal="center"/>
    </xf>
    <xf numFmtId="167" fontId="0" fillId="0" borderId="0" xfId="0" applyNumberFormat="1" applyAlignment="1">
      <alignment horizontal="center"/>
    </xf>
    <xf numFmtId="167" fontId="1" fillId="3" borderId="5" xfId="1" applyNumberFormat="1" applyFont="1" applyFill="1" applyBorder="1" applyAlignment="1">
      <alignment horizontal="center"/>
    </xf>
    <xf numFmtId="167" fontId="1" fillId="3" borderId="6" xfId="1" applyNumberFormat="1" applyFont="1" applyFill="1" applyBorder="1" applyAlignment="1">
      <alignment horizontal="center"/>
    </xf>
    <xf numFmtId="167" fontId="1" fillId="3" borderId="1" xfId="1" applyNumberFormat="1" applyFont="1" applyFill="1" applyBorder="1" applyAlignment="1">
      <alignment horizontal="center"/>
    </xf>
    <xf numFmtId="167" fontId="1" fillId="3" borderId="7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8" fontId="0" fillId="5" borderId="0" xfId="0" applyNumberFormat="1" applyFill="1" applyAlignment="1">
      <alignment horizontal="center"/>
    </xf>
    <xf numFmtId="168" fontId="0" fillId="5" borderId="1" xfId="0" applyNumberForma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8" fontId="1" fillId="0" borderId="0" xfId="0" applyNumberFormat="1" applyFont="1" applyAlignment="1">
      <alignment horizontal="right"/>
    </xf>
    <xf numFmtId="168" fontId="1" fillId="0" borderId="1" xfId="0" applyNumberFormat="1" applyFont="1" applyBorder="1" applyAlignment="1">
      <alignment horizontal="right"/>
    </xf>
    <xf numFmtId="2" fontId="0" fillId="6" borderId="0" xfId="0" applyNumberFormat="1" applyFill="1" applyAlignment="1">
      <alignment horizontal="center"/>
    </xf>
    <xf numFmtId="0" fontId="0" fillId="0" borderId="0" xfId="0" applyAlignment="1">
      <alignment horizontal="right"/>
    </xf>
    <xf numFmtId="0" fontId="1" fillId="0" borderId="11" xfId="0" applyFont="1" applyBorder="1"/>
    <xf numFmtId="168" fontId="0" fillId="0" borderId="12" xfId="0" applyNumberFormat="1" applyBorder="1" applyAlignment="1">
      <alignment horizontal="center"/>
    </xf>
    <xf numFmtId="168" fontId="0" fillId="0" borderId="14" xfId="0" applyNumberFormat="1" applyBorder="1" applyAlignment="1">
      <alignment horizontal="center"/>
    </xf>
    <xf numFmtId="0" fontId="1" fillId="0" borderId="16" xfId="0" applyFont="1" applyBorder="1"/>
    <xf numFmtId="164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4" fontId="0" fillId="0" borderId="17" xfId="0" applyNumberFormat="1" applyBorder="1" applyAlignment="1">
      <alignment horizontal="center"/>
    </xf>
    <xf numFmtId="0" fontId="0" fillId="0" borderId="15" xfId="0" applyBorder="1"/>
    <xf numFmtId="0" fontId="1" fillId="0" borderId="18" xfId="0" applyFont="1" applyBorder="1"/>
    <xf numFmtId="164" fontId="0" fillId="0" borderId="0" xfId="0" applyNumberFormat="1"/>
    <xf numFmtId="0" fontId="2" fillId="0" borderId="17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7" xfId="0" applyBorder="1"/>
    <xf numFmtId="168" fontId="0" fillId="0" borderId="0" xfId="0" applyNumberFormat="1"/>
    <xf numFmtId="44" fontId="0" fillId="0" borderId="0" xfId="0" applyNumberFormat="1"/>
    <xf numFmtId="2" fontId="0" fillId="0" borderId="0" xfId="1" applyNumberFormat="1" applyFont="1"/>
    <xf numFmtId="169" fontId="0" fillId="0" borderId="0" xfId="0" applyNumberFormat="1"/>
    <xf numFmtId="164" fontId="0" fillId="5" borderId="1" xfId="0" applyNumberFormat="1" applyFill="1" applyBorder="1" applyAlignment="1">
      <alignment horizontal="center"/>
    </xf>
    <xf numFmtId="0" fontId="1" fillId="0" borderId="13" xfId="0" applyFont="1" applyBorder="1"/>
    <xf numFmtId="0" fontId="3" fillId="0" borderId="15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Portfolio Efficient Frontier</a:t>
            </a:r>
          </a:p>
        </c:rich>
      </c:tx>
      <c:layout>
        <c:manualLayout>
          <c:xMode val="edge"/>
          <c:yMode val="edge"/>
          <c:x val="0.29805324248162879"/>
          <c:y val="3.967293930939890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154655061794463"/>
          <c:y val="0.15321965273258059"/>
          <c:w val="0.77102592613026755"/>
          <c:h val="0.5964622195661173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'Efficient Frontier'!$B$25</c:f>
              <c:strCache>
                <c:ptCount val="1"/>
                <c:pt idx="0">
                  <c:v>Efficient Frontier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'Efficient Frontier'!$C$27:$C$36</c:f>
              <c:numCache>
                <c:formatCode>0.0</c:formatCode>
                <c:ptCount val="10"/>
                <c:pt idx="0">
                  <c:v>10.889221541636655</c:v>
                </c:pt>
                <c:pt idx="1">
                  <c:v>11.931797646698868</c:v>
                </c:pt>
                <c:pt idx="2">
                  <c:v>13.864705041287788</c:v>
                </c:pt>
                <c:pt idx="3">
                  <c:v>16.459335436293014</c:v>
                </c:pt>
                <c:pt idx="4">
                  <c:v>17.751347919963788</c:v>
                </c:pt>
                <c:pt idx="5">
                  <c:v>19.739700657373941</c:v>
                </c:pt>
                <c:pt idx="6">
                  <c:v>22.600928126039545</c:v>
                </c:pt>
                <c:pt idx="7">
                  <c:v>24.420170749864621</c:v>
                </c:pt>
                <c:pt idx="8">
                  <c:v>26.623365793344949</c:v>
                </c:pt>
                <c:pt idx="9">
                  <c:v>28.507283713183799</c:v>
                </c:pt>
              </c:numCache>
            </c:numRef>
          </c:xVal>
          <c:yVal>
            <c:numRef>
              <c:f>'Efficient Frontier'!$B$27:$B$36</c:f>
              <c:numCache>
                <c:formatCode>0.0</c:formatCode>
                <c:ptCount val="10"/>
                <c:pt idx="0">
                  <c:v>5.5</c:v>
                </c:pt>
                <c:pt idx="1">
                  <c:v>8.1999999999999993</c:v>
                </c:pt>
                <c:pt idx="2">
                  <c:v>11</c:v>
                </c:pt>
                <c:pt idx="3">
                  <c:v>13.9</c:v>
                </c:pt>
                <c:pt idx="4">
                  <c:v>15.2</c:v>
                </c:pt>
                <c:pt idx="5">
                  <c:v>17.100000000000001</c:v>
                </c:pt>
                <c:pt idx="6">
                  <c:v>19.7</c:v>
                </c:pt>
                <c:pt idx="7">
                  <c:v>21.3</c:v>
                </c:pt>
                <c:pt idx="8">
                  <c:v>23.2</c:v>
                </c:pt>
                <c:pt idx="9">
                  <c:v>24.8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A6-4A00-8624-CB16DF290380}"/>
            </c:ext>
          </c:extLst>
        </c:ser>
        <c:ser>
          <c:idx val="1"/>
          <c:order val="1"/>
          <c:tx>
            <c:v>RUS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'Efficient Frontier'!$D$5</c:f>
              <c:numCache>
                <c:formatCode>0.0</c:formatCode>
                <c:ptCount val="1"/>
                <c:pt idx="0">
                  <c:v>21.068986531584098</c:v>
                </c:pt>
              </c:numCache>
            </c:numRef>
          </c:xVal>
          <c:yVal>
            <c:numRef>
              <c:f>'Efficient Frontier'!$C$5</c:f>
              <c:numCache>
                <c:formatCode>0.0</c:formatCode>
                <c:ptCount val="1"/>
                <c:pt idx="0">
                  <c:v>6.4169204389843841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AA6-4A00-8624-CB16DF290380}"/>
            </c:ext>
          </c:extLst>
        </c:ser>
        <c:ser>
          <c:idx val="2"/>
          <c:order val="2"/>
          <c:tx>
            <c:v>S&amp;P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'Efficient Frontier'!$D$6</c:f>
              <c:numCache>
                <c:formatCode>0.0</c:formatCode>
                <c:ptCount val="1"/>
                <c:pt idx="0">
                  <c:v>15.925935105650101</c:v>
                </c:pt>
              </c:numCache>
            </c:numRef>
          </c:xVal>
          <c:yVal>
            <c:numRef>
              <c:f>'Efficient Frontier'!$C$6</c:f>
              <c:numCache>
                <c:formatCode>0.0</c:formatCode>
                <c:ptCount val="1"/>
                <c:pt idx="0">
                  <c:v>2.1953808845242975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AA6-4A00-8624-CB16DF290380}"/>
            </c:ext>
          </c:extLst>
        </c:ser>
        <c:ser>
          <c:idx val="3"/>
          <c:order val="3"/>
          <c:tx>
            <c:v>LBB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'Efficient Frontier'!$D$7</c:f>
              <c:numCache>
                <c:formatCode>0.0</c:formatCode>
                <c:ptCount val="1"/>
                <c:pt idx="0">
                  <c:v>14.993268639158529</c:v>
                </c:pt>
              </c:numCache>
            </c:numRef>
          </c:xVal>
          <c:yVal>
            <c:numRef>
              <c:f>'Efficient Frontier'!$C$7</c:f>
              <c:numCache>
                <c:formatCode>0.0</c:formatCode>
                <c:ptCount val="1"/>
                <c:pt idx="0">
                  <c:v>9.0208700000000004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AA6-4A00-8624-CB16DF290380}"/>
            </c:ext>
          </c:extLst>
        </c:ser>
        <c:ser>
          <c:idx val="4"/>
          <c:order val="4"/>
          <c:tx>
            <c:v>EAFE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'Efficient Frontier'!$D$8</c:f>
              <c:numCache>
                <c:formatCode>0.0</c:formatCode>
                <c:ptCount val="1"/>
                <c:pt idx="0">
                  <c:v>19.403444782407274</c:v>
                </c:pt>
              </c:numCache>
            </c:numRef>
          </c:xVal>
          <c:yVal>
            <c:numRef>
              <c:f>'Efficient Frontier'!$C$8</c:f>
              <c:numCache>
                <c:formatCode>0.0</c:formatCode>
                <c:ptCount val="1"/>
                <c:pt idx="0">
                  <c:v>6.4506224514698065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AA6-4A00-8624-CB16DF29038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62147311"/>
        <c:axId val="1"/>
      </c:scatterChart>
      <c:valAx>
        <c:axId val="8621473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Portfolio Risk %</a:t>
                </a:r>
              </a:p>
            </c:rich>
          </c:tx>
          <c:layout>
            <c:manualLayout>
              <c:xMode val="edge"/>
              <c:yMode val="edge"/>
              <c:x val="0.43959992630380357"/>
              <c:y val="0.8194514758842559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Portfolio Return %</a:t>
                </a:r>
              </a:p>
            </c:rich>
          </c:tx>
          <c:layout>
            <c:manualLayout>
              <c:xMode val="edge"/>
              <c:yMode val="edge"/>
              <c:x val="4.0277538667850644E-2"/>
              <c:y val="0.3324319326705229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62147311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73710392069806"/>
          <c:y val="0.91931790844885841"/>
          <c:w val="0.38456446815092343"/>
          <c:h val="2.628419997618481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Portfolio Efficient Frontier</a:t>
            </a:r>
          </a:p>
        </c:rich>
      </c:tx>
      <c:layout>
        <c:manualLayout>
          <c:xMode val="edge"/>
          <c:yMode val="edge"/>
          <c:x val="0.29805324248162879"/>
          <c:y val="3.967293930939890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154655061794463"/>
          <c:y val="0.15321965273258059"/>
          <c:w val="0.77102592613026755"/>
          <c:h val="0.5964622195661173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'Optimal Allocation'!$B$25</c:f>
              <c:strCache>
                <c:ptCount val="1"/>
                <c:pt idx="0">
                  <c:v>Efficient Frontier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'Optimal Allocation'!$C$27:$C$42</c:f>
              <c:numCache>
                <c:formatCode>0.0000</c:formatCode>
                <c:ptCount val="16"/>
                <c:pt idx="0">
                  <c:v>11.100705178908601</c:v>
                </c:pt>
                <c:pt idx="1">
                  <c:v>10.9593703155019</c:v>
                </c:pt>
                <c:pt idx="2">
                  <c:v>10.889702217173443</c:v>
                </c:pt>
                <c:pt idx="3">
                  <c:v>10.853932167958984</c:v>
                </c:pt>
                <c:pt idx="4">
                  <c:v>10.754596671254859</c:v>
                </c:pt>
                <c:pt idx="5">
                  <c:v>10.889221541636655</c:v>
                </c:pt>
                <c:pt idx="6">
                  <c:v>11.931797646698868</c:v>
                </c:pt>
                <c:pt idx="7">
                  <c:v>13.864705041287788</c:v>
                </c:pt>
                <c:pt idx="8">
                  <c:v>16.459335436293014</c:v>
                </c:pt>
                <c:pt idx="9">
                  <c:v>17.751347919963788</c:v>
                </c:pt>
                <c:pt idx="10">
                  <c:v>19.739700657373941</c:v>
                </c:pt>
                <c:pt idx="11">
                  <c:v>22.600928126039545</c:v>
                </c:pt>
                <c:pt idx="12">
                  <c:v>24.420170749864621</c:v>
                </c:pt>
                <c:pt idx="13">
                  <c:v>26.623365793344949</c:v>
                </c:pt>
                <c:pt idx="14">
                  <c:v>28.507283713183799</c:v>
                </c:pt>
                <c:pt idx="15">
                  <c:v>39.673981276009485</c:v>
                </c:pt>
              </c:numCache>
            </c:numRef>
          </c:xVal>
          <c:yVal>
            <c:numRef>
              <c:f>'Optimal Allocation'!$B$27:$B$42</c:f>
              <c:numCache>
                <c:formatCode>0.00</c:formatCode>
                <c:ptCount val="16"/>
                <c:pt idx="0">
                  <c:v>2</c:v>
                </c:pt>
                <c:pt idx="1">
                  <c:v>2.5</c:v>
                </c:pt>
                <c:pt idx="2">
                  <c:v>2.81</c:v>
                </c:pt>
                <c:pt idx="3">
                  <c:v>3</c:v>
                </c:pt>
                <c:pt idx="4">
                  <c:v>4</c:v>
                </c:pt>
                <c:pt idx="5" formatCode="0.0">
                  <c:v>5.5</c:v>
                </c:pt>
                <c:pt idx="6" formatCode="0.0">
                  <c:v>8.1999999999999993</c:v>
                </c:pt>
                <c:pt idx="7" formatCode="0.0">
                  <c:v>11</c:v>
                </c:pt>
                <c:pt idx="8" formatCode="0.0">
                  <c:v>13.9</c:v>
                </c:pt>
                <c:pt idx="9" formatCode="0.0">
                  <c:v>15.2</c:v>
                </c:pt>
                <c:pt idx="10" formatCode="0.0">
                  <c:v>17.100000000000001</c:v>
                </c:pt>
                <c:pt idx="11" formatCode="0.0">
                  <c:v>19.7</c:v>
                </c:pt>
                <c:pt idx="12" formatCode="0.0">
                  <c:v>21.3</c:v>
                </c:pt>
                <c:pt idx="13" formatCode="0.0">
                  <c:v>23.2</c:v>
                </c:pt>
                <c:pt idx="14" formatCode="0.0">
                  <c:v>24.8</c:v>
                </c:pt>
                <c:pt idx="15" formatCode="0.0">
                  <c:v>34.0168050674814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6A-4DA3-B940-E6FE608BBC3B}"/>
            </c:ext>
          </c:extLst>
        </c:ser>
        <c:ser>
          <c:idx val="1"/>
          <c:order val="1"/>
          <c:tx>
            <c:v>RUS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'Optimal Allocation'!$D$5</c:f>
              <c:numCache>
                <c:formatCode>0.0</c:formatCode>
                <c:ptCount val="1"/>
                <c:pt idx="0">
                  <c:v>21.068986531584098</c:v>
                </c:pt>
              </c:numCache>
            </c:numRef>
          </c:xVal>
          <c:yVal>
            <c:numRef>
              <c:f>'Optimal Allocation'!$C$5</c:f>
              <c:numCache>
                <c:formatCode>0.0</c:formatCode>
                <c:ptCount val="1"/>
                <c:pt idx="0">
                  <c:v>6.4169204389843841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6A-4DA3-B940-E6FE608BBC3B}"/>
            </c:ext>
          </c:extLst>
        </c:ser>
        <c:ser>
          <c:idx val="2"/>
          <c:order val="2"/>
          <c:tx>
            <c:v>S&amp;P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'Optimal Allocation'!$D$6</c:f>
              <c:numCache>
                <c:formatCode>0.0</c:formatCode>
                <c:ptCount val="1"/>
                <c:pt idx="0">
                  <c:v>15.925935105650101</c:v>
                </c:pt>
              </c:numCache>
            </c:numRef>
          </c:xVal>
          <c:yVal>
            <c:numRef>
              <c:f>'Optimal Allocation'!$C$6</c:f>
              <c:numCache>
                <c:formatCode>0.0</c:formatCode>
                <c:ptCount val="1"/>
                <c:pt idx="0">
                  <c:v>2.1953808845242975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96A-4DA3-B940-E6FE608BBC3B}"/>
            </c:ext>
          </c:extLst>
        </c:ser>
        <c:ser>
          <c:idx val="3"/>
          <c:order val="3"/>
          <c:tx>
            <c:v>LBB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'Optimal Allocation'!$D$7</c:f>
              <c:numCache>
                <c:formatCode>0.0</c:formatCode>
                <c:ptCount val="1"/>
                <c:pt idx="0">
                  <c:v>14.993268639158529</c:v>
                </c:pt>
              </c:numCache>
            </c:numRef>
          </c:xVal>
          <c:yVal>
            <c:numRef>
              <c:f>'Optimal Allocation'!$C$7</c:f>
              <c:numCache>
                <c:formatCode>0.0</c:formatCode>
                <c:ptCount val="1"/>
                <c:pt idx="0">
                  <c:v>9.0208700000000004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96A-4DA3-B940-E6FE608BBC3B}"/>
            </c:ext>
          </c:extLst>
        </c:ser>
        <c:ser>
          <c:idx val="4"/>
          <c:order val="4"/>
          <c:tx>
            <c:v>EAFE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'Optimal Allocation'!$D$8</c:f>
              <c:numCache>
                <c:formatCode>0.0</c:formatCode>
                <c:ptCount val="1"/>
                <c:pt idx="0">
                  <c:v>19.403444782407274</c:v>
                </c:pt>
              </c:numCache>
            </c:numRef>
          </c:xVal>
          <c:yVal>
            <c:numRef>
              <c:f>'Optimal Allocation'!$C$8</c:f>
              <c:numCache>
                <c:formatCode>0.0</c:formatCode>
                <c:ptCount val="1"/>
                <c:pt idx="0">
                  <c:v>6.4506224514698065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96A-4DA3-B940-E6FE608BBC3B}"/>
            </c:ext>
          </c:extLst>
        </c:ser>
        <c:ser>
          <c:idx val="5"/>
          <c:order val="5"/>
          <c:tx>
            <c:strRef>
              <c:f>'Optimal Allocation'!$B$44</c:f>
              <c:strCache>
                <c:ptCount val="1"/>
                <c:pt idx="0">
                  <c:v>Tangent Portfolio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'Optimal Allocation'!$D$46:$D$50</c:f>
              <c:numCache>
                <c:formatCode>0.0000</c:formatCode>
                <c:ptCount val="5"/>
                <c:pt idx="0">
                  <c:v>0</c:v>
                </c:pt>
                <c:pt idx="1">
                  <c:v>39.673981276009485</c:v>
                </c:pt>
                <c:pt idx="2">
                  <c:v>7.9333440789756926</c:v>
                </c:pt>
                <c:pt idx="3">
                  <c:v>23.806838735176818</c:v>
                </c:pt>
                <c:pt idx="4">
                  <c:v>35.787076110620639</c:v>
                </c:pt>
              </c:numCache>
            </c:numRef>
          </c:xVal>
          <c:yVal>
            <c:numRef>
              <c:f>'Optimal Allocation'!$C$46:$C$50</c:f>
              <c:numCache>
                <c:formatCode>0.0</c:formatCode>
                <c:ptCount val="5"/>
                <c:pt idx="0">
                  <c:v>1.8</c:v>
                </c:pt>
                <c:pt idx="1">
                  <c:v>34.0168050674814</c:v>
                </c:pt>
                <c:pt idx="2">
                  <c:v>8.233253276934132</c:v>
                </c:pt>
                <c:pt idx="3">
                  <c:v>21.127602554200266</c:v>
                </c:pt>
                <c:pt idx="4">
                  <c:v>30.859378432296737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96A-4DA3-B940-E6FE608BBC3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62147311"/>
        <c:axId val="1"/>
      </c:scatterChart>
      <c:valAx>
        <c:axId val="8621473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Portfolio Risk %</a:t>
                </a:r>
              </a:p>
            </c:rich>
          </c:tx>
          <c:layout>
            <c:manualLayout>
              <c:xMode val="edge"/>
              <c:yMode val="edge"/>
              <c:x val="0.43959992630380357"/>
              <c:y val="0.8194514758842559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Portfolio Return %</a:t>
                </a:r>
              </a:p>
            </c:rich>
          </c:tx>
          <c:layout>
            <c:manualLayout>
              <c:xMode val="edge"/>
              <c:yMode val="edge"/>
              <c:x val="4.0277538667850644E-2"/>
              <c:y val="0.3324319326705229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62147311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73710392069806"/>
          <c:y val="0.91931790844885841"/>
          <c:w val="0.50186554869849065"/>
          <c:h val="2.628419997618481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00" verticalDpi="30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320040</xdr:colOff>
      <xdr:row>38</xdr:row>
      <xdr:rowOff>137160</xdr:rowOff>
    </xdr:from>
    <xdr:to>
      <xdr:col>20</xdr:col>
      <xdr:colOff>595313</xdr:colOff>
      <xdr:row>90</xdr:row>
      <xdr:rowOff>14288</xdr:rowOff>
    </xdr:to>
    <xdr:graphicFrame macro="">
      <xdr:nvGraphicFramePr>
        <xdr:cNvPr id="1031" name="Chart 5">
          <a:extLst>
            <a:ext uri="{FF2B5EF4-FFF2-40B4-BE49-F238E27FC236}">
              <a16:creationId xmlns:a16="http://schemas.microsoft.com/office/drawing/2014/main" id="{DD391033-5350-453B-A535-D26BC54B4C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320040</xdr:colOff>
      <xdr:row>52</xdr:row>
      <xdr:rowOff>137160</xdr:rowOff>
    </xdr:from>
    <xdr:to>
      <xdr:col>20</xdr:col>
      <xdr:colOff>595313</xdr:colOff>
      <xdr:row>104</xdr:row>
      <xdr:rowOff>14288</xdr:rowOff>
    </xdr:to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id="{D68466DE-F992-4185-BFA8-81A4913AB3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37"/>
  <sheetViews>
    <sheetView tabSelected="1" workbookViewId="0">
      <selection activeCell="G143" sqref="G143"/>
    </sheetView>
  </sheetViews>
  <sheetFormatPr defaultColWidth="8.796875" defaultRowHeight="12.75" x14ac:dyDescent="0.35"/>
  <cols>
    <col min="1" max="1" width="4.33203125" customWidth="1"/>
    <col min="2" max="2" width="10.1328125" bestFit="1" customWidth="1"/>
    <col min="3" max="3" width="11.1328125" bestFit="1" customWidth="1"/>
    <col min="6" max="6" width="10.1328125" customWidth="1"/>
  </cols>
  <sheetData>
    <row r="2" spans="2:14" ht="13.15" x14ac:dyDescent="0.4">
      <c r="B2" s="6" t="s">
        <v>34</v>
      </c>
    </row>
    <row r="4" spans="2:14" s="6" customFormat="1" ht="39.75" thickBot="1" x14ac:dyDescent="0.45">
      <c r="B4" s="20" t="s">
        <v>0</v>
      </c>
      <c r="C4" s="21" t="s">
        <v>8</v>
      </c>
      <c r="D4" s="21" t="s">
        <v>9</v>
      </c>
      <c r="E4" s="21" t="s">
        <v>10</v>
      </c>
      <c r="F4" s="21" t="s">
        <v>11</v>
      </c>
      <c r="G4" s="21" t="s">
        <v>12</v>
      </c>
      <c r="J4" s="21" t="s">
        <v>8</v>
      </c>
      <c r="K4" s="21" t="s">
        <v>9</v>
      </c>
      <c r="L4" s="21" t="s">
        <v>10</v>
      </c>
      <c r="M4" s="21" t="s">
        <v>11</v>
      </c>
      <c r="N4" s="21" t="s">
        <v>12</v>
      </c>
    </row>
    <row r="5" spans="2:14" ht="13.15" thickTop="1" x14ac:dyDescent="0.35">
      <c r="B5" s="8">
        <v>37258</v>
      </c>
      <c r="C5" s="34">
        <v>1.4840000000000001E-3</v>
      </c>
      <c r="D5" s="34">
        <v>-1.1054235414534319E-2</v>
      </c>
      <c r="E5" s="34">
        <v>-1.5573832559794276E-2</v>
      </c>
      <c r="F5" s="34">
        <v>-2.2782E-2</v>
      </c>
      <c r="G5" s="34">
        <v>-5.7837317694582557E-2</v>
      </c>
    </row>
    <row r="6" spans="2:14" x14ac:dyDescent="0.35">
      <c r="B6" s="8">
        <v>37288</v>
      </c>
      <c r="C6" s="34">
        <v>1.39E-3</v>
      </c>
      <c r="D6" s="34">
        <v>-2.8441359613644912E-2</v>
      </c>
      <c r="E6" s="34">
        <v>-2.0766211305560334E-2</v>
      </c>
      <c r="F6" s="34">
        <v>1.0097999999999999E-2</v>
      </c>
      <c r="G6" s="34">
        <v>1.2010663913351483E-2</v>
      </c>
    </row>
    <row r="7" spans="2:14" x14ac:dyDescent="0.35">
      <c r="B7" s="8">
        <v>37316</v>
      </c>
      <c r="C7" s="34">
        <v>1.2849999999999999E-3</v>
      </c>
      <c r="D7" s="34">
        <v>7.9043819638779045E-2</v>
      </c>
      <c r="E7" s="34">
        <v>3.6738893618839086E-2</v>
      </c>
      <c r="F7" s="34">
        <v>6.8269999999999997E-3</v>
      </c>
      <c r="G7" s="34">
        <v>5.5823923263242037E-2</v>
      </c>
    </row>
    <row r="8" spans="2:14" x14ac:dyDescent="0.35">
      <c r="B8" s="8">
        <v>37347</v>
      </c>
      <c r="C8" s="34">
        <v>1.341E-3</v>
      </c>
      <c r="D8" s="34">
        <v>8.3126447790817792E-3</v>
      </c>
      <c r="E8" s="34">
        <v>-6.1417626159139926E-2</v>
      </c>
      <c r="F8" s="34">
        <v>-5.0435000000000001E-2</v>
      </c>
      <c r="G8" s="34">
        <v>1.5237331777556262E-2</v>
      </c>
    </row>
    <row r="9" spans="2:14" x14ac:dyDescent="0.35">
      <c r="B9" s="8">
        <v>37377</v>
      </c>
      <c r="C9" s="34">
        <v>1.5460000000000001E-3</v>
      </c>
      <c r="D9" s="34">
        <v>-4.5430535197687361E-2</v>
      </c>
      <c r="E9" s="34">
        <v>-9.0814810760454501E-3</v>
      </c>
      <c r="F9" s="34">
        <v>3.6252E-2</v>
      </c>
      <c r="G9" s="34">
        <v>5.3310507474362279E-3</v>
      </c>
    </row>
    <row r="10" spans="2:14" x14ac:dyDescent="0.35">
      <c r="B10" s="8">
        <v>37410</v>
      </c>
      <c r="C10" s="34">
        <v>1.4419999999999999E-3</v>
      </c>
      <c r="D10" s="34">
        <v>-5.0936439060995764E-2</v>
      </c>
      <c r="E10" s="34">
        <v>-7.245535441757367E-2</v>
      </c>
      <c r="F10" s="34">
        <v>2.1459999999999999E-3</v>
      </c>
      <c r="G10" s="34">
        <v>-3.28764316563257E-2</v>
      </c>
    </row>
    <row r="11" spans="2:14" x14ac:dyDescent="0.35">
      <c r="B11" s="8">
        <v>37438</v>
      </c>
      <c r="C11" s="34">
        <v>1.312E-3</v>
      </c>
      <c r="D11" s="34">
        <v>-0.15178108188501593</v>
      </c>
      <c r="E11" s="34">
        <v>-7.9004274966125276E-2</v>
      </c>
      <c r="F11" s="34">
        <v>1.8716E-2</v>
      </c>
      <c r="G11" s="34">
        <v>-9.5318481081296813E-2</v>
      </c>
    </row>
    <row r="12" spans="2:14" x14ac:dyDescent="0.35">
      <c r="B12" s="8">
        <v>37469</v>
      </c>
      <c r="C12" s="34">
        <v>1.5070000000000001E-3</v>
      </c>
      <c r="D12" s="34">
        <v>-3.7205594812514953E-3</v>
      </c>
      <c r="E12" s="34">
        <v>4.8814330800193151E-3</v>
      </c>
      <c r="F12" s="34">
        <v>3.5048999999999997E-2</v>
      </c>
      <c r="G12" s="34">
        <v>-9.7901871691653541E-3</v>
      </c>
    </row>
    <row r="13" spans="2:14" x14ac:dyDescent="0.35">
      <c r="B13" s="8">
        <v>37502</v>
      </c>
      <c r="C13" s="34">
        <v>1.402E-3</v>
      </c>
      <c r="D13" s="34">
        <v>-7.3383473144186695E-2</v>
      </c>
      <c r="E13" s="34">
        <v>-0.11002431826151904</v>
      </c>
      <c r="F13" s="34">
        <v>6.0109999999999997E-2</v>
      </c>
      <c r="G13" s="34">
        <v>-0.10357828498447108</v>
      </c>
    </row>
    <row r="14" spans="2:14" x14ac:dyDescent="0.35">
      <c r="B14" s="8">
        <v>37530</v>
      </c>
      <c r="C14" s="34">
        <v>1.4139999999999999E-3</v>
      </c>
      <c r="D14" s="34">
        <v>3.0999009967673574E-2</v>
      </c>
      <c r="E14" s="34">
        <v>8.6448801016809851E-2</v>
      </c>
      <c r="F14" s="34">
        <v>4.2903999999999998E-2</v>
      </c>
      <c r="G14" s="34">
        <v>3.8340438029693891E-2</v>
      </c>
    </row>
    <row r="15" spans="2:14" x14ac:dyDescent="0.35">
      <c r="B15" s="8">
        <v>37561</v>
      </c>
      <c r="C15" s="34">
        <v>1.3339999999999999E-3</v>
      </c>
      <c r="D15" s="34">
        <v>8.7951823293172637E-2</v>
      </c>
      <c r="E15" s="34">
        <v>5.7069620923617892E-2</v>
      </c>
      <c r="F15" s="34">
        <v>-4.1985000000000001E-2</v>
      </c>
      <c r="G15" s="34">
        <v>5.6145610068244256E-2</v>
      </c>
    </row>
    <row r="16" spans="2:14" x14ac:dyDescent="0.35">
      <c r="B16" s="8">
        <v>37592</v>
      </c>
      <c r="C16" s="34">
        <v>1.1659999999999999E-3</v>
      </c>
      <c r="D16" s="34">
        <v>-5.7241318214721559E-2</v>
      </c>
      <c r="E16" s="34">
        <v>-6.0332572674290597E-2</v>
      </c>
      <c r="F16" s="34">
        <v>-3.3440000000000002E-3</v>
      </c>
      <c r="G16" s="34">
        <v>-3.3484078925098415E-2</v>
      </c>
      <c r="J16">
        <f>PRODUCT(1+C5,1+C6,1+C7,1+C8,1+C9,1+C10,1+C11,1+C12,1+C13,1+C14,1+C15,1+C16)-1</f>
        <v>1.6750172909665295E-2</v>
      </c>
      <c r="K16">
        <f t="shared" ref="K16:N16" si="0">PRODUCT(1+D5,1+D6,1+D7,1+D8,1+D9,1+D10,1+D11,1+D12,1+D13,1+D14,1+D15,1+D16)-1</f>
        <v>-0.21578301740020489</v>
      </c>
      <c r="L16">
        <f t="shared" si="0"/>
        <v>-0.23365963981693272</v>
      </c>
      <c r="M16">
        <f t="shared" si="0"/>
        <v>9.0831816795468256E-2</v>
      </c>
      <c r="N16">
        <f t="shared" si="0"/>
        <v>-0.15419739358141071</v>
      </c>
    </row>
    <row r="17" spans="2:14" x14ac:dyDescent="0.35">
      <c r="B17" s="8">
        <v>37623</v>
      </c>
      <c r="C17" s="34">
        <v>1.0790000000000001E-3</v>
      </c>
      <c r="D17" s="34">
        <v>-2.8505006954031797E-2</v>
      </c>
      <c r="E17" s="34">
        <v>-2.7414692559952214E-2</v>
      </c>
      <c r="F17" s="34">
        <v>4.2637000000000001E-2</v>
      </c>
      <c r="G17" s="34">
        <v>-4.3025968734596409E-2</v>
      </c>
    </row>
    <row r="18" spans="2:14" x14ac:dyDescent="0.35">
      <c r="B18" s="8">
        <v>37655</v>
      </c>
      <c r="C18" s="34">
        <v>9.3400000000000004E-4</v>
      </c>
      <c r="D18" s="34">
        <v>-3.1302962605963547E-2</v>
      </c>
      <c r="E18" s="34">
        <v>-1.7003608502929368E-2</v>
      </c>
      <c r="F18" s="34">
        <v>-4.7819999999999998E-3</v>
      </c>
      <c r="G18" s="34">
        <v>-2.1107997226735287E-2</v>
      </c>
    </row>
    <row r="19" spans="2:14" x14ac:dyDescent="0.35">
      <c r="B19" s="8">
        <v>37683</v>
      </c>
      <c r="C19" s="34">
        <v>8.7100000000000003E-4</v>
      </c>
      <c r="D19" s="34">
        <v>1.1150616117432399E-2</v>
      </c>
      <c r="E19" s="34">
        <v>8.3575685661514409E-3</v>
      </c>
      <c r="F19" s="34">
        <v>2.9007999999999999E-2</v>
      </c>
      <c r="G19" s="34">
        <v>-2.3180626657991033E-2</v>
      </c>
    </row>
    <row r="20" spans="2:14" x14ac:dyDescent="0.35">
      <c r="B20" s="8">
        <v>37712</v>
      </c>
      <c r="C20" s="34">
        <v>1.0200000000000001E-3</v>
      </c>
      <c r="D20" s="34">
        <v>9.3652227895786311E-2</v>
      </c>
      <c r="E20" s="34">
        <v>8.1044106872726118E-2</v>
      </c>
      <c r="F20" s="34">
        <v>-1.7930000000000001E-2</v>
      </c>
      <c r="G20" s="34">
        <v>0.10165562642821979</v>
      </c>
    </row>
    <row r="21" spans="2:14" x14ac:dyDescent="0.35">
      <c r="B21" s="8">
        <v>37742</v>
      </c>
      <c r="C21" s="34">
        <v>9.3899999999999995E-4</v>
      </c>
      <c r="D21" s="34">
        <v>0.10615031539844533</v>
      </c>
      <c r="E21" s="34">
        <v>5.0898709664177977E-2</v>
      </c>
      <c r="F21" s="34">
        <v>1.1381E-2</v>
      </c>
      <c r="G21" s="34">
        <v>6.452270679944716E-2</v>
      </c>
    </row>
    <row r="22" spans="2:14" x14ac:dyDescent="0.35">
      <c r="B22" s="8">
        <v>37774</v>
      </c>
      <c r="C22" s="34">
        <v>9.0300000000000005E-4</v>
      </c>
      <c r="D22" s="34">
        <v>1.6712006802721113E-2</v>
      </c>
      <c r="E22" s="34">
        <v>1.1322214525161467E-2</v>
      </c>
      <c r="F22" s="34">
        <v>6.4187999999999995E-2</v>
      </c>
      <c r="G22" s="34">
        <v>1.9388008908450161E-2</v>
      </c>
    </row>
    <row r="23" spans="2:14" x14ac:dyDescent="0.35">
      <c r="B23" s="8">
        <v>37803</v>
      </c>
      <c r="C23" s="34">
        <v>9.8400000000000007E-4</v>
      </c>
      <c r="D23" s="34">
        <v>6.1667806294665173E-2</v>
      </c>
      <c r="E23" s="34">
        <v>1.6223702411493068E-2</v>
      </c>
      <c r="F23" s="34">
        <v>-2.3213999999999999E-2</v>
      </c>
      <c r="G23" s="34">
        <v>1.5141870298212678E-2</v>
      </c>
    </row>
    <row r="24" spans="2:14" x14ac:dyDescent="0.35">
      <c r="B24" s="8">
        <v>37834</v>
      </c>
      <c r="C24" s="34">
        <v>6.7400000000000001E-4</v>
      </c>
      <c r="D24" s="34">
        <v>4.4956145738661357E-2</v>
      </c>
      <c r="E24" s="34">
        <v>1.7873203376464364E-2</v>
      </c>
      <c r="F24" s="34">
        <v>-0.104917</v>
      </c>
      <c r="G24" s="34">
        <v>3.2924071238619845E-2</v>
      </c>
    </row>
    <row r="25" spans="2:14" x14ac:dyDescent="0.35">
      <c r="B25" s="8">
        <v>37866</v>
      </c>
      <c r="C25" s="34">
        <v>6.8900000000000005E-4</v>
      </c>
      <c r="D25" s="34">
        <v>-1.9581077852611317E-2</v>
      </c>
      <c r="E25" s="34">
        <v>-1.194436452074521E-2</v>
      </c>
      <c r="F25" s="34">
        <v>2.3022000000000001E-2</v>
      </c>
      <c r="G25" s="34">
        <v>3.0201568662715061E-2</v>
      </c>
    </row>
    <row r="26" spans="2:14" x14ac:dyDescent="0.35">
      <c r="B26" s="8">
        <v>37895</v>
      </c>
      <c r="C26" s="34">
        <v>8.6499999999999999E-4</v>
      </c>
      <c r="D26" s="34">
        <v>8.3128236921542031E-2</v>
      </c>
      <c r="E26" s="34">
        <v>5.496148638401066E-2</v>
      </c>
      <c r="F26" s="34">
        <v>5.5227999999999999E-2</v>
      </c>
      <c r="G26" s="34">
        <v>6.49571577798429E-2</v>
      </c>
    </row>
    <row r="27" spans="2:14" x14ac:dyDescent="0.35">
      <c r="B27" s="8">
        <v>37928</v>
      </c>
      <c r="C27" s="34">
        <v>6.9999999999999999E-4</v>
      </c>
      <c r="D27" s="34">
        <v>3.4625799863973628E-2</v>
      </c>
      <c r="E27" s="34">
        <v>7.1285038478854368E-3</v>
      </c>
      <c r="F27" s="34">
        <v>-3.1384000000000002E-2</v>
      </c>
      <c r="G27" s="34">
        <v>2.5280857217840014E-2</v>
      </c>
    </row>
    <row r="28" spans="2:14" x14ac:dyDescent="0.35">
      <c r="B28" s="8">
        <v>37956</v>
      </c>
      <c r="C28" s="34">
        <v>7.2499999999999995E-4</v>
      </c>
      <c r="D28" s="34">
        <v>1.9029775868149468E-2</v>
      </c>
      <c r="E28" s="34">
        <v>5.0765541001239312E-2</v>
      </c>
      <c r="F28" s="34">
        <v>4.0569999999999998E-3</v>
      </c>
      <c r="G28" s="34">
        <v>8.7375550563103976E-2</v>
      </c>
      <c r="J28">
        <f t="shared" ref="J28:N28" si="1">PRODUCT(1+C17,1+C18,1+C19,1+C20,1+C21,1+C22,1+C23,1+C24,1+C25,1+C26,1+C27,1+C28)-1</f>
        <v>1.0432448284286577E-2</v>
      </c>
      <c r="K28">
        <f t="shared" si="1"/>
        <v>0.45373144382501707</v>
      </c>
      <c r="L28">
        <f t="shared" si="1"/>
        <v>0.26380399985607506</v>
      </c>
      <c r="M28">
        <f t="shared" si="1"/>
        <v>3.5976062335261627E-2</v>
      </c>
      <c r="N28">
        <f t="shared" si="1"/>
        <v>0.4030120477493091</v>
      </c>
    </row>
    <row r="29" spans="2:14" x14ac:dyDescent="0.35">
      <c r="B29" s="8">
        <v>37988</v>
      </c>
      <c r="C29" s="34">
        <v>8.3100000000000003E-4</v>
      </c>
      <c r="D29" s="34">
        <v>4.2825659722922405E-2</v>
      </c>
      <c r="E29" s="34">
        <v>1.7276387006114557E-2</v>
      </c>
      <c r="F29" s="34">
        <v>1.3211000000000001E-2</v>
      </c>
      <c r="G29" s="34">
        <v>1.1259126072360237E-2</v>
      </c>
    </row>
    <row r="30" spans="2:14" x14ac:dyDescent="0.35">
      <c r="B30" s="8">
        <v>38019</v>
      </c>
      <c r="C30" s="34">
        <v>6.96E-4</v>
      </c>
      <c r="D30" s="34">
        <v>8.2650112221052119E-3</v>
      </c>
      <c r="E30" s="34">
        <v>1.2208973273589496E-2</v>
      </c>
      <c r="F30" s="34">
        <v>1.9525000000000001E-2</v>
      </c>
      <c r="G30" s="34">
        <v>2.2990173852299733E-2</v>
      </c>
    </row>
    <row r="31" spans="2:14" x14ac:dyDescent="0.35">
      <c r="B31" s="8">
        <v>38047</v>
      </c>
      <c r="C31" s="34">
        <v>6.2299999999999996E-4</v>
      </c>
      <c r="D31" s="34">
        <v>8.111892916564889E-3</v>
      </c>
      <c r="E31" s="34">
        <v>-1.6358919214261247E-2</v>
      </c>
      <c r="F31" s="34">
        <v>2.1635000000000001E-2</v>
      </c>
      <c r="G31" s="34">
        <v>7.0666311475409138E-4</v>
      </c>
    </row>
    <row r="32" spans="2:14" x14ac:dyDescent="0.35">
      <c r="B32" s="8">
        <v>38078</v>
      </c>
      <c r="C32" s="34">
        <v>8.4400000000000002E-4</v>
      </c>
      <c r="D32" s="34">
        <v>-5.1684725150123567E-2</v>
      </c>
      <c r="E32" s="34">
        <v>-1.6790751862298725E-2</v>
      </c>
      <c r="F32" s="34">
        <v>1.4178E-2</v>
      </c>
      <c r="G32" s="34">
        <v>-3.3898410695508918E-2</v>
      </c>
    </row>
    <row r="33" spans="2:14" x14ac:dyDescent="0.35">
      <c r="B33" s="8">
        <v>38110</v>
      </c>
      <c r="C33" s="34">
        <v>7.9500000000000003E-4</v>
      </c>
      <c r="D33" s="34">
        <v>1.5148340803465832E-2</v>
      </c>
      <c r="E33" s="34">
        <v>1.2083450201310297E-2</v>
      </c>
      <c r="F33" s="34">
        <v>-6.7294999999999994E-2</v>
      </c>
      <c r="G33" s="34">
        <v>1.140356946259069E-2</v>
      </c>
    </row>
    <row r="34" spans="2:14" x14ac:dyDescent="0.35">
      <c r="B34" s="8">
        <v>38139</v>
      </c>
      <c r="C34" s="34">
        <v>6.0300000000000002E-4</v>
      </c>
      <c r="D34" s="34">
        <v>4.0895315362208473E-2</v>
      </c>
      <c r="E34" s="34">
        <v>1.7988998669195677E-2</v>
      </c>
      <c r="F34" s="34">
        <v>-3.441E-3</v>
      </c>
      <c r="G34" s="34">
        <v>3.353582331715077E-2</v>
      </c>
    </row>
    <row r="35" spans="2:14" x14ac:dyDescent="0.35">
      <c r="B35" s="8">
        <v>38169</v>
      </c>
      <c r="C35" s="34">
        <v>8.1700000000000002E-4</v>
      </c>
      <c r="D35" s="34">
        <v>-6.8011294021798285E-2</v>
      </c>
      <c r="E35" s="34">
        <v>-3.4290519411904974E-2</v>
      </c>
      <c r="F35" s="34">
        <v>1.1977E-2</v>
      </c>
      <c r="G35" s="34">
        <v>-4.2657472119207229E-2</v>
      </c>
    </row>
    <row r="36" spans="2:14" x14ac:dyDescent="0.35">
      <c r="B36" s="8">
        <v>38201</v>
      </c>
      <c r="C36" s="34">
        <v>9.19E-4</v>
      </c>
      <c r="D36" s="34">
        <v>-6.0947688767889474E-3</v>
      </c>
      <c r="E36" s="34">
        <v>2.287349840552233E-3</v>
      </c>
      <c r="F36" s="34">
        <v>1.6702999999999999E-2</v>
      </c>
      <c r="G36" s="34">
        <v>1.1906611030343628E-2</v>
      </c>
    </row>
    <row r="37" spans="2:14" x14ac:dyDescent="0.35">
      <c r="B37" s="8">
        <v>38231</v>
      </c>
      <c r="C37" s="34">
        <v>1.116E-3</v>
      </c>
      <c r="D37" s="34">
        <v>4.564453364391774E-2</v>
      </c>
      <c r="E37" s="34">
        <v>9.3638756915515042E-3</v>
      </c>
      <c r="F37" s="34">
        <v>4.3186000000000002E-2</v>
      </c>
      <c r="G37" s="34">
        <v>2.0717383815627155E-2</v>
      </c>
    </row>
    <row r="38" spans="2:14" x14ac:dyDescent="0.35">
      <c r="B38" s="8">
        <v>38261</v>
      </c>
      <c r="C38" s="34">
        <v>1.1850000000000001E-3</v>
      </c>
      <c r="D38" s="34">
        <v>1.8937368593788584E-2</v>
      </c>
      <c r="E38" s="34">
        <v>1.4014243586486952E-2</v>
      </c>
      <c r="F38" s="34">
        <v>9.077E-3</v>
      </c>
      <c r="G38" s="34">
        <v>3.5007135521161858E-2</v>
      </c>
    </row>
    <row r="39" spans="2:14" x14ac:dyDescent="0.35">
      <c r="B39" s="8">
        <v>38292</v>
      </c>
      <c r="C39" s="34">
        <v>1.129E-3</v>
      </c>
      <c r="D39" s="34">
        <v>8.5613052439211357E-2</v>
      </c>
      <c r="E39" s="34">
        <v>3.8594936198152352E-2</v>
      </c>
      <c r="F39" s="34">
        <v>1.8720000000000001E-2</v>
      </c>
      <c r="G39" s="34">
        <v>6.0813178710334981E-2</v>
      </c>
    </row>
    <row r="40" spans="2:14" x14ac:dyDescent="0.35">
      <c r="B40" s="8">
        <v>38322</v>
      </c>
      <c r="C40" s="34">
        <v>1.5410000000000001E-3</v>
      </c>
      <c r="D40" s="34">
        <v>2.80858772713799E-2</v>
      </c>
      <c r="E40" s="34">
        <v>3.24582131440454E-2</v>
      </c>
      <c r="F40" s="34">
        <v>-2.5773000000000001E-2</v>
      </c>
      <c r="G40" s="34">
        <v>4.8067377019536339E-2</v>
      </c>
      <c r="J40">
        <f t="shared" ref="J40:N40" si="2">PRODUCT(1+C29,1+C30,1+C31,1+C32,1+C33,1+C34,1+C35,1+C36,1+C37,1+C38,1+C39,1+C40)-1</f>
        <v>1.1155223543438009E-2</v>
      </c>
      <c r="K40">
        <f t="shared" si="2"/>
        <v>0.16997367364437577</v>
      </c>
      <c r="L40">
        <f t="shared" si="2"/>
        <v>8.9934524105044211E-2</v>
      </c>
      <c r="M40">
        <f t="shared" si="2"/>
        <v>6.9352387045154895E-2</v>
      </c>
      <c r="N40">
        <f t="shared" si="2"/>
        <v>0.18959264479647975</v>
      </c>
    </row>
    <row r="41" spans="2:14" x14ac:dyDescent="0.35">
      <c r="B41" s="8">
        <v>38355</v>
      </c>
      <c r="C41" s="34">
        <v>1.6720000000000001E-3</v>
      </c>
      <c r="D41" s="34">
        <v>-4.2282466510156547E-2</v>
      </c>
      <c r="E41" s="34">
        <v>-2.5290467099494562E-2</v>
      </c>
      <c r="F41" s="34">
        <v>2.9946E-2</v>
      </c>
      <c r="G41" s="34">
        <v>-1.9032772238990692E-2</v>
      </c>
    </row>
    <row r="42" spans="2:14" x14ac:dyDescent="0.35">
      <c r="B42" s="8">
        <v>38384</v>
      </c>
      <c r="C42" s="34">
        <v>1.6609999999999999E-3</v>
      </c>
      <c r="D42" s="34">
        <v>1.6089192138418751E-2</v>
      </c>
      <c r="E42" s="34">
        <v>1.8903346078316563E-2</v>
      </c>
      <c r="F42" s="34">
        <v>3.8436999999999999E-2</v>
      </c>
      <c r="G42" s="34">
        <v>3.7849777427528375E-2</v>
      </c>
    </row>
    <row r="43" spans="2:14" x14ac:dyDescent="0.35">
      <c r="B43" s="8">
        <v>38412</v>
      </c>
      <c r="C43" s="34">
        <v>1.6410000000000001E-3</v>
      </c>
      <c r="D43" s="34">
        <v>-2.9949832917862018E-2</v>
      </c>
      <c r="E43" s="34">
        <v>-1.9117655748441043E-2</v>
      </c>
      <c r="F43" s="34">
        <v>-1.5657000000000001E-2</v>
      </c>
      <c r="G43" s="34">
        <v>-2.6233418526296903E-2</v>
      </c>
    </row>
    <row r="44" spans="2:14" x14ac:dyDescent="0.35">
      <c r="B44" s="8">
        <v>38443</v>
      </c>
      <c r="C44" s="34">
        <v>2.1229999999999999E-3</v>
      </c>
      <c r="D44" s="34">
        <v>-5.8025918340706917E-2</v>
      </c>
      <c r="E44" s="34">
        <v>-2.0108581881679299E-2</v>
      </c>
      <c r="F44" s="34">
        <v>-9.3000000000000005E-4</v>
      </c>
      <c r="G44" s="34">
        <v>-1.6176866917788413E-2</v>
      </c>
    </row>
    <row r="45" spans="2:14" x14ac:dyDescent="0.35">
      <c r="B45" s="8">
        <v>38474</v>
      </c>
      <c r="C45" s="34">
        <v>2.0720000000000001E-3</v>
      </c>
      <c r="D45" s="34">
        <v>6.4430972207955239E-2</v>
      </c>
      <c r="E45" s="34">
        <v>2.9952046262565757E-2</v>
      </c>
      <c r="F45" s="34">
        <v>3.9066999999999998E-2</v>
      </c>
      <c r="G45" s="34">
        <v>-8.6371883714189135E-3</v>
      </c>
    </row>
    <row r="46" spans="2:14" x14ac:dyDescent="0.35">
      <c r="B46" s="8">
        <v>38504</v>
      </c>
      <c r="C46" s="34">
        <v>2.395E-3</v>
      </c>
      <c r="D46" s="34">
        <v>3.7213520425001478E-2</v>
      </c>
      <c r="E46" s="34">
        <v>-1.427142257658387E-4</v>
      </c>
      <c r="F46" s="34">
        <v>3.2510999999999998E-2</v>
      </c>
      <c r="G46" s="34">
        <v>1.4327188675846703E-2</v>
      </c>
    </row>
    <row r="47" spans="2:14" x14ac:dyDescent="0.35">
      <c r="B47" s="8">
        <v>38534</v>
      </c>
      <c r="C47" s="34">
        <v>2.2629999999999998E-3</v>
      </c>
      <c r="D47" s="34">
        <v>6.2673965375663609E-2</v>
      </c>
      <c r="E47" s="34">
        <v>3.5968287193812287E-2</v>
      </c>
      <c r="F47" s="34">
        <v>2.2747E-2</v>
      </c>
      <c r="G47" s="34">
        <v>2.9967562597150943E-2</v>
      </c>
    </row>
    <row r="48" spans="2:14" x14ac:dyDescent="0.35">
      <c r="B48" s="8">
        <v>38565</v>
      </c>
      <c r="C48" s="34">
        <v>2.3830000000000001E-3</v>
      </c>
      <c r="D48" s="34">
        <v>-1.9477734461199048E-2</v>
      </c>
      <c r="E48" s="34">
        <v>-1.1222104874496597E-2</v>
      </c>
      <c r="F48" s="34">
        <v>-3.6367999999999998E-2</v>
      </c>
      <c r="G48" s="34">
        <v>3.8361777198462788E-2</v>
      </c>
    </row>
    <row r="49" spans="2:14" x14ac:dyDescent="0.35">
      <c r="B49" s="8">
        <v>38596</v>
      </c>
      <c r="C49" s="34">
        <v>2.9199999999999999E-3</v>
      </c>
      <c r="D49" s="34">
        <v>1.9354217950906527E-3</v>
      </c>
      <c r="E49" s="34">
        <v>6.9490246947603307E-3</v>
      </c>
      <c r="F49" s="34">
        <v>3.5542999999999998E-2</v>
      </c>
      <c r="G49" s="34">
        <v>3.6944495027590341E-2</v>
      </c>
    </row>
    <row r="50" spans="2:14" x14ac:dyDescent="0.35">
      <c r="B50" s="8">
        <v>38628</v>
      </c>
      <c r="C50" s="34">
        <v>2.8479999999999998E-3</v>
      </c>
      <c r="D50" s="34">
        <v>-3.1731062265307974E-2</v>
      </c>
      <c r="E50" s="34">
        <v>-1.7740780066319406E-2</v>
      </c>
      <c r="F50" s="34">
        <v>-4.1069000000000001E-2</v>
      </c>
      <c r="G50" s="34">
        <v>-3.1841656962953491E-2</v>
      </c>
    </row>
    <row r="51" spans="2:14" x14ac:dyDescent="0.35">
      <c r="B51" s="8">
        <v>38657</v>
      </c>
      <c r="C51" s="34">
        <v>2.728E-3</v>
      </c>
      <c r="D51" s="34">
        <v>4.7447447010890098E-2</v>
      </c>
      <c r="E51" s="34">
        <v>3.5186095929726546E-2</v>
      </c>
      <c r="F51" s="34">
        <v>-2.2459E-2</v>
      </c>
      <c r="G51" s="34">
        <v>2.3111088619087061E-2</v>
      </c>
    </row>
    <row r="52" spans="2:14" x14ac:dyDescent="0.35">
      <c r="B52" s="8">
        <v>38687</v>
      </c>
      <c r="C52" s="34">
        <v>3.045E-3</v>
      </c>
      <c r="D52" s="34">
        <v>-6.0092532478016603E-3</v>
      </c>
      <c r="E52" s="34">
        <v>-9.5234899241847248E-4</v>
      </c>
      <c r="F52" s="34">
        <v>1.2485E-2</v>
      </c>
      <c r="G52" s="34">
        <v>5.1825923133693053E-2</v>
      </c>
      <c r="J52">
        <f t="shared" ref="J52:N52" si="3">PRODUCT(1+C41,1+C42,1+C43,1+C44,1+C45,1+C46,1+C47,1+C48,1+C49,1+C50,1+C51,1+C52)-1</f>
        <v>2.8105294339966225E-2</v>
      </c>
      <c r="K52">
        <f t="shared" si="3"/>
        <v>3.3227379663594681E-2</v>
      </c>
      <c r="L52">
        <f t="shared" si="3"/>
        <v>3.0010226483225155E-2</v>
      </c>
      <c r="M52">
        <f t="shared" si="3"/>
        <v>9.3034139992022258E-2</v>
      </c>
      <c r="N52">
        <f t="shared" si="3"/>
        <v>0.13321518772555252</v>
      </c>
    </row>
    <row r="53" spans="2:14" x14ac:dyDescent="0.35">
      <c r="B53" s="8">
        <v>38720</v>
      </c>
      <c r="C53" s="34">
        <v>3.16E-3</v>
      </c>
      <c r="D53" s="34">
        <v>8.9094268714140723E-2</v>
      </c>
      <c r="E53" s="34">
        <v>2.5466771348641615E-2</v>
      </c>
      <c r="F53" s="34">
        <v>2.6477000000000001E-2</v>
      </c>
      <c r="G53" s="34">
        <v>5.7714888498439532E-2</v>
      </c>
    </row>
    <row r="54" spans="2:14" x14ac:dyDescent="0.35">
      <c r="B54" s="8">
        <v>38749</v>
      </c>
      <c r="C54" s="34">
        <v>3.4880000000000002E-3</v>
      </c>
      <c r="D54" s="34">
        <v>-3.4915397682782068E-3</v>
      </c>
      <c r="E54" s="34">
        <v>4.5315763072539816E-4</v>
      </c>
      <c r="F54" s="34">
        <v>-1.5976000000000001E-2</v>
      </c>
      <c r="G54" s="34">
        <v>-6.999673017266117E-3</v>
      </c>
    </row>
    <row r="55" spans="2:14" x14ac:dyDescent="0.35">
      <c r="B55" s="8">
        <v>38777</v>
      </c>
      <c r="C55" s="34">
        <v>3.3219999999999999E-3</v>
      </c>
      <c r="D55" s="34">
        <v>4.7218875631934942E-2</v>
      </c>
      <c r="E55" s="34">
        <v>1.1095810459249567E-2</v>
      </c>
      <c r="F55" s="34">
        <v>1.2808999999999999E-2</v>
      </c>
      <c r="G55" s="34">
        <v>4.0051238604142947E-2</v>
      </c>
    </row>
    <row r="56" spans="2:14" x14ac:dyDescent="0.35">
      <c r="B56" s="8">
        <v>38810</v>
      </c>
      <c r="C56" s="34">
        <v>3.6419999999999998E-3</v>
      </c>
      <c r="D56" s="34">
        <v>-7.8421855900445703E-4</v>
      </c>
      <c r="E56" s="34">
        <v>1.2155652737941391E-2</v>
      </c>
      <c r="F56" s="34">
        <v>-5.5517999999999998E-2</v>
      </c>
      <c r="G56" s="34">
        <v>4.7905136404731374E-2</v>
      </c>
    </row>
    <row r="57" spans="2:14" x14ac:dyDescent="0.35">
      <c r="B57" s="8">
        <v>38838</v>
      </c>
      <c r="C57" s="34">
        <v>3.5590000000000001E-3</v>
      </c>
      <c r="D57" s="34">
        <v>-5.6936156712003916E-2</v>
      </c>
      <c r="E57" s="34">
        <v>-3.0916916141150885E-2</v>
      </c>
      <c r="F57" s="34">
        <v>-3.8002000000000001E-2</v>
      </c>
      <c r="G57" s="34">
        <v>-3.8218413840101495E-2</v>
      </c>
    </row>
    <row r="58" spans="2:14" x14ac:dyDescent="0.35">
      <c r="B58" s="8">
        <v>38869</v>
      </c>
      <c r="C58" s="34">
        <v>4.1949999999999999E-3</v>
      </c>
      <c r="D58" s="34">
        <v>5.0761750173204945E-3</v>
      </c>
      <c r="E58" s="34">
        <v>8.6596227782509416E-5</v>
      </c>
      <c r="F58" s="34">
        <v>-5.6309999999999997E-3</v>
      </c>
      <c r="G58" s="34">
        <v>-6.1137171774761079E-4</v>
      </c>
    </row>
    <row r="59" spans="2:14" x14ac:dyDescent="0.35">
      <c r="B59" s="8">
        <v>38901</v>
      </c>
      <c r="C59" s="34">
        <v>3.9699999999999996E-3</v>
      </c>
      <c r="D59" s="34">
        <v>-3.3270296225309526E-2</v>
      </c>
      <c r="E59" s="34">
        <v>5.0858787979908282E-3</v>
      </c>
      <c r="F59" s="34">
        <v>1.0872E-2</v>
      </c>
      <c r="G59" s="34">
        <v>8.1052406563637547E-3</v>
      </c>
    </row>
    <row r="60" spans="2:14" x14ac:dyDescent="0.35">
      <c r="B60" s="8">
        <v>38930</v>
      </c>
      <c r="C60" s="34">
        <v>3.9760000000000004E-3</v>
      </c>
      <c r="D60" s="34">
        <v>2.8505811146813498E-2</v>
      </c>
      <c r="E60" s="34">
        <v>2.1274193032348121E-2</v>
      </c>
      <c r="F60" s="34">
        <v>2.3036999999999998E-2</v>
      </c>
      <c r="G60" s="34">
        <v>2.5485464372900113E-2</v>
      </c>
    </row>
    <row r="61" spans="2:14" x14ac:dyDescent="0.35">
      <c r="B61" s="8">
        <v>38961</v>
      </c>
      <c r="C61" s="34">
        <v>4.2830000000000003E-3</v>
      </c>
      <c r="D61" s="34">
        <v>7.0226052993551669E-3</v>
      </c>
      <c r="E61" s="34">
        <v>2.4566298512509466E-2</v>
      </c>
      <c r="F61" s="34">
        <v>3.3521000000000002E-2</v>
      </c>
      <c r="G61" s="34">
        <v>2.2189429952395034E-3</v>
      </c>
    </row>
    <row r="62" spans="2:14" x14ac:dyDescent="0.35">
      <c r="B62" s="8">
        <v>38992</v>
      </c>
      <c r="C62" s="34">
        <v>4.0470000000000002E-3</v>
      </c>
      <c r="D62" s="34">
        <v>5.6850285236899945E-2</v>
      </c>
      <c r="E62" s="34">
        <v>3.1508002961554205E-2</v>
      </c>
      <c r="F62" s="34">
        <v>2.2313E-2</v>
      </c>
      <c r="G62" s="34">
        <v>3.7490778639879707E-2</v>
      </c>
    </row>
    <row r="63" spans="2:14" x14ac:dyDescent="0.35">
      <c r="B63" s="8">
        <v>39022</v>
      </c>
      <c r="C63" s="34">
        <v>4.0759999999999998E-3</v>
      </c>
      <c r="D63" s="34">
        <v>2.5142099161707065E-2</v>
      </c>
      <c r="E63" s="34">
        <v>1.6466656727820217E-2</v>
      </c>
      <c r="F63" s="34">
        <v>1.1512E-2</v>
      </c>
      <c r="G63" s="34">
        <v>3.0729724463883112E-2</v>
      </c>
    </row>
    <row r="64" spans="2:14" x14ac:dyDescent="0.35">
      <c r="B64" s="8">
        <v>39052</v>
      </c>
      <c r="C64" s="34">
        <v>4.2430000000000002E-3</v>
      </c>
      <c r="D64" s="34">
        <v>1.9589604765108959E-3</v>
      </c>
      <c r="E64" s="34">
        <v>1.2615782852659851E-2</v>
      </c>
      <c r="F64" s="34">
        <v>2.8752E-2</v>
      </c>
      <c r="G64" s="34">
        <v>3.1972025649002145E-2</v>
      </c>
      <c r="J64">
        <f t="shared" ref="J64:N64" si="4">PRODUCT(1+C53,1+C54,1+C55,1+C56,1+C57,1+C58,1+C59,1+C60,1+C61,1+C62,1+C63,1+C64)-1</f>
        <v>4.6940831339347344E-2</v>
      </c>
      <c r="K64">
        <f t="shared" si="4"/>
        <v>0.16998901834419811</v>
      </c>
      <c r="L64">
        <f t="shared" si="4"/>
        <v>0.13619431757718292</v>
      </c>
      <c r="M64">
        <f t="shared" si="4"/>
        <v>5.0921617654109852E-2</v>
      </c>
      <c r="N64">
        <f t="shared" si="4"/>
        <v>0.2580576246815105</v>
      </c>
    </row>
    <row r="65" spans="2:14" x14ac:dyDescent="0.35">
      <c r="B65" s="8">
        <v>39085</v>
      </c>
      <c r="C65" s="34">
        <v>4.0359999999999997E-3</v>
      </c>
      <c r="D65" s="34">
        <v>1.6098385641845958E-2</v>
      </c>
      <c r="E65" s="34">
        <v>1.4059042735039773E-2</v>
      </c>
      <c r="F65" s="34">
        <v>-3.5084999999999998E-2</v>
      </c>
      <c r="G65" s="34">
        <v>1.3930565974637377E-2</v>
      </c>
    </row>
    <row r="66" spans="2:14" x14ac:dyDescent="0.35">
      <c r="B66" s="8">
        <v>39114</v>
      </c>
      <c r="C66" s="34">
        <v>4.3280000000000002E-3</v>
      </c>
      <c r="D66" s="34">
        <v>-8.7963100213653833E-3</v>
      </c>
      <c r="E66" s="34">
        <v>-2.1846176033528231E-2</v>
      </c>
      <c r="F66" s="34">
        <v>-1.0678999999999999E-2</v>
      </c>
      <c r="G66" s="34">
        <v>-1.2122434161949691E-3</v>
      </c>
    </row>
    <row r="67" spans="2:14" x14ac:dyDescent="0.35">
      <c r="B67" s="8">
        <v>39142</v>
      </c>
      <c r="C67" s="34">
        <v>3.8370000000000001E-3</v>
      </c>
      <c r="D67" s="34">
        <v>9.3407716022806397E-3</v>
      </c>
      <c r="E67" s="34">
        <v>9.9799828968305526E-3</v>
      </c>
      <c r="F67" s="34">
        <v>3.5901000000000002E-2</v>
      </c>
      <c r="G67" s="34">
        <v>2.8995290792583006E-2</v>
      </c>
    </row>
    <row r="68" spans="2:14" x14ac:dyDescent="0.35">
      <c r="B68" s="8">
        <v>39174</v>
      </c>
      <c r="C68" s="34">
        <v>4.2570000000000004E-3</v>
      </c>
      <c r="D68" s="34">
        <v>1.7309618487577838E-2</v>
      </c>
      <c r="E68" s="34">
        <v>4.3290690602424187E-2</v>
      </c>
      <c r="F68" s="34">
        <v>-2.1418E-2</v>
      </c>
      <c r="G68" s="34">
        <v>3.748363211837602E-2</v>
      </c>
    </row>
    <row r="69" spans="2:14" x14ac:dyDescent="0.35">
      <c r="B69" s="8">
        <v>39203</v>
      </c>
      <c r="C69" s="34">
        <v>4.3480000000000003E-3</v>
      </c>
      <c r="D69" s="34">
        <v>4.0033374319906612E-2</v>
      </c>
      <c r="E69" s="34">
        <v>3.254922870993493E-2</v>
      </c>
      <c r="F69" s="34">
        <v>8.6770000000000007E-3</v>
      </c>
      <c r="G69" s="34">
        <v>2.362297519225165E-2</v>
      </c>
    </row>
    <row r="70" spans="2:14" x14ac:dyDescent="0.35">
      <c r="B70" s="8">
        <v>39234</v>
      </c>
      <c r="C70" s="34">
        <v>4.0460000000000001E-3</v>
      </c>
      <c r="D70" s="34">
        <v>-1.5911590348427818E-2</v>
      </c>
      <c r="E70" s="34">
        <v>-1.7816322202167556E-2</v>
      </c>
      <c r="F70" s="34">
        <v>-2.5943999999999998E-2</v>
      </c>
      <c r="G70" s="34">
        <v>-3.2087164816688718E-3</v>
      </c>
    </row>
    <row r="71" spans="2:14" x14ac:dyDescent="0.35">
      <c r="B71" s="8">
        <v>39265</v>
      </c>
      <c r="C71" s="34">
        <v>3.9179999999999996E-3</v>
      </c>
      <c r="D71" s="34">
        <v>-6.9065630528022615E-2</v>
      </c>
      <c r="E71" s="34">
        <v>-3.1981878316802548E-2</v>
      </c>
      <c r="F71" s="34">
        <v>-1.3263E-2</v>
      </c>
      <c r="G71" s="34">
        <v>-2.2904532891705576E-2</v>
      </c>
    </row>
    <row r="72" spans="2:14" x14ac:dyDescent="0.35">
      <c r="B72" s="8">
        <v>39295</v>
      </c>
      <c r="C72" s="34">
        <v>3.9620000000000002E-3</v>
      </c>
      <c r="D72" s="34">
        <v>2.156881681678624E-2</v>
      </c>
      <c r="E72" s="34">
        <v>1.2863571531556817E-2</v>
      </c>
      <c r="F72" s="34">
        <v>3.9012999999999999E-2</v>
      </c>
      <c r="G72" s="34">
        <v>-6.3355233774564645E-3</v>
      </c>
    </row>
    <row r="73" spans="2:14" x14ac:dyDescent="0.35">
      <c r="B73" s="8">
        <v>39329</v>
      </c>
      <c r="C73" s="34">
        <v>4.2050000000000004E-3</v>
      </c>
      <c r="D73" s="34">
        <v>1.5879256411206022E-2</v>
      </c>
      <c r="E73" s="34">
        <v>3.5794008343299488E-2</v>
      </c>
      <c r="F73" s="34">
        <v>1.4997999999999999E-2</v>
      </c>
      <c r="G73" s="34">
        <v>5.3175227768104127E-2</v>
      </c>
    </row>
    <row r="74" spans="2:14" x14ac:dyDescent="0.35">
      <c r="B74" s="8">
        <v>39356</v>
      </c>
      <c r="C74" s="34">
        <v>3.3470000000000001E-3</v>
      </c>
      <c r="D74" s="34">
        <v>2.8021612345571656E-2</v>
      </c>
      <c r="E74" s="34">
        <v>1.4822338300311211E-2</v>
      </c>
      <c r="F74" s="34">
        <v>2.33E-3</v>
      </c>
      <c r="G74" s="34">
        <v>4.2499136299386508E-2</v>
      </c>
    </row>
    <row r="75" spans="2:14" x14ac:dyDescent="0.35">
      <c r="B75" s="8">
        <v>39387</v>
      </c>
      <c r="C75" s="34">
        <v>3.212E-3</v>
      </c>
      <c r="D75" s="34">
        <v>-7.2763941142389266E-2</v>
      </c>
      <c r="E75" s="34">
        <v>-4.4043417224814418E-2</v>
      </c>
      <c r="F75" s="34">
        <v>1.8432E-2</v>
      </c>
      <c r="G75" s="34">
        <v>-3.6236927122025975E-2</v>
      </c>
    </row>
    <row r="76" spans="2:14" x14ac:dyDescent="0.35">
      <c r="B76" s="8">
        <v>39419</v>
      </c>
      <c r="C76" s="34">
        <v>3.395E-3</v>
      </c>
      <c r="D76" s="34">
        <v>-2.2662919294504924E-3</v>
      </c>
      <c r="E76" s="34">
        <v>-8.6285090339686121E-3</v>
      </c>
      <c r="F76" s="34">
        <v>6.2645999999999993E-2</v>
      </c>
      <c r="G76" s="34">
        <v>-2.9812774128322617E-2</v>
      </c>
      <c r="J76">
        <f t="shared" ref="J76:N76" si="5">PRODUCT(1+C65,1+C66,1+C67,1+C68,1+C69,1+C70,1+C71,1+C72,1+C73,1+C74,1+C75,1+C76)-1</f>
        <v>4.7911133718654186E-2</v>
      </c>
      <c r="K76">
        <f t="shared" si="5"/>
        <v>-2.7461017115820718E-2</v>
      </c>
      <c r="L76">
        <f t="shared" si="5"/>
        <v>3.5295730290142879E-2</v>
      </c>
      <c r="M76">
        <f t="shared" si="5"/>
        <v>7.3239785727529982E-2</v>
      </c>
      <c r="N76">
        <f t="shared" si="5"/>
        <v>9.951019128005667E-2</v>
      </c>
    </row>
    <row r="77" spans="2:14" x14ac:dyDescent="0.35">
      <c r="B77" s="8">
        <v>39449</v>
      </c>
      <c r="C77" s="34">
        <v>2.921E-3</v>
      </c>
      <c r="D77" s="34">
        <v>-6.8835475116863942E-2</v>
      </c>
      <c r="E77" s="34">
        <v>-6.116343193593643E-2</v>
      </c>
      <c r="F77" s="34">
        <v>-8.7399999999999995E-3</v>
      </c>
      <c r="G77" s="34">
        <v>-7.8471394703218622E-2</v>
      </c>
    </row>
    <row r="78" spans="2:14" x14ac:dyDescent="0.35">
      <c r="B78" s="8">
        <v>39479</v>
      </c>
      <c r="C78" s="34">
        <v>2.4299999999999999E-3</v>
      </c>
      <c r="D78" s="34">
        <v>-3.8020461876132838E-2</v>
      </c>
      <c r="E78" s="34">
        <v>-3.4761192772624461E-2</v>
      </c>
      <c r="F78" s="34">
        <v>2.5451999999999999E-2</v>
      </c>
      <c r="G78" s="34">
        <v>-1.0229460074839269E-2</v>
      </c>
    </row>
    <row r="79" spans="2:14" x14ac:dyDescent="0.35">
      <c r="B79" s="8">
        <v>39510</v>
      </c>
      <c r="C79" s="34">
        <v>1.325E-3</v>
      </c>
      <c r="D79" s="34">
        <v>2.6086129270166403E-3</v>
      </c>
      <c r="E79" s="34">
        <v>-5.9596236145298409E-3</v>
      </c>
      <c r="F79" s="34">
        <v>-7.5900000000000004E-3</v>
      </c>
      <c r="G79" s="34">
        <v>4.1899583524758199E-3</v>
      </c>
    </row>
    <row r="80" spans="2:14" x14ac:dyDescent="0.35">
      <c r="B80" s="8">
        <v>39539</v>
      </c>
      <c r="C80" s="34">
        <v>1.869E-3</v>
      </c>
      <c r="D80" s="34">
        <v>4.100472867877536E-2</v>
      </c>
      <c r="E80" s="34">
        <v>4.7546697913198877E-2</v>
      </c>
      <c r="F80" s="34">
        <v>2.2067E-2</v>
      </c>
      <c r="G80" s="34">
        <v>5.4381062599263563E-2</v>
      </c>
    </row>
    <row r="81" spans="2:14" x14ac:dyDescent="0.35">
      <c r="B81" s="8">
        <v>39569</v>
      </c>
      <c r="C81" s="34">
        <v>1.0250000000000001E-3</v>
      </c>
      <c r="D81" s="34">
        <v>4.4821185056477919E-2</v>
      </c>
      <c r="E81" s="34">
        <v>1.0674181657577053E-2</v>
      </c>
      <c r="F81" s="34">
        <v>-2.5128000000000001E-2</v>
      </c>
      <c r="G81" s="34">
        <v>1.1871773676473518E-2</v>
      </c>
    </row>
    <row r="82" spans="2:14" x14ac:dyDescent="0.35">
      <c r="B82" s="8">
        <v>39601</v>
      </c>
      <c r="C82" s="34">
        <v>9.4600000000000001E-4</v>
      </c>
      <c r="D82" s="34">
        <v>-7.8339730753391512E-2</v>
      </c>
      <c r="E82" s="34">
        <v>-8.5962384902803612E-2</v>
      </c>
      <c r="F82" s="34">
        <v>-3.6624999999999998E-2</v>
      </c>
      <c r="G82" s="34">
        <v>-8.7868142762795753E-2</v>
      </c>
    </row>
    <row r="83" spans="2:14" x14ac:dyDescent="0.35">
      <c r="B83" s="8">
        <v>39630</v>
      </c>
      <c r="C83" s="34">
        <v>1.75E-3</v>
      </c>
      <c r="D83" s="34">
        <v>3.6046817233512218E-2</v>
      </c>
      <c r="E83" s="34">
        <v>-9.8593710937500134E-3</v>
      </c>
      <c r="F83" s="34">
        <v>3.6208999999999998E-2</v>
      </c>
      <c r="G83" s="34">
        <v>-3.3202258681256924E-2</v>
      </c>
    </row>
    <row r="84" spans="2:14" x14ac:dyDescent="0.35">
      <c r="B84" s="8">
        <v>39661</v>
      </c>
      <c r="C84" s="34">
        <v>1.4400000000000001E-3</v>
      </c>
      <c r="D84" s="34">
        <v>3.496050397580186E-2</v>
      </c>
      <c r="E84" s="34">
        <v>1.2190464532380041E-2</v>
      </c>
      <c r="F84" s="34">
        <v>-4.1200000000000004E-3</v>
      </c>
      <c r="G84" s="34">
        <v>-4.2476265846034256E-2</v>
      </c>
    </row>
    <row r="85" spans="2:14" x14ac:dyDescent="0.35">
      <c r="B85" s="8">
        <v>39693</v>
      </c>
      <c r="C85" s="34">
        <v>1.2819999999999999E-3</v>
      </c>
      <c r="D85" s="34">
        <v>-8.1027698444895213E-2</v>
      </c>
      <c r="E85" s="34">
        <v>-9.0791433779084607E-2</v>
      </c>
      <c r="F85" s="34">
        <v>2.8500000000000001E-2</v>
      </c>
      <c r="G85" s="34">
        <v>-0.1143621465298853</v>
      </c>
    </row>
    <row r="86" spans="2:14" x14ac:dyDescent="0.35">
      <c r="B86" s="8">
        <v>39722</v>
      </c>
      <c r="C86" s="34">
        <v>1.5299999999999999E-3</v>
      </c>
      <c r="D86" s="34">
        <v>-0.20904086854572701</v>
      </c>
      <c r="E86" s="34">
        <v>-0.1694245237674199</v>
      </c>
      <c r="F86" s="34">
        <v>2.2345E-2</v>
      </c>
      <c r="G86" s="34">
        <v>-0.20834809906535912</v>
      </c>
    </row>
    <row r="87" spans="2:14" x14ac:dyDescent="0.35">
      <c r="B87" s="8">
        <v>39755</v>
      </c>
      <c r="C87" s="34">
        <v>7.9199999999999995E-4</v>
      </c>
      <c r="D87" s="34">
        <v>-0.11977229238829101</v>
      </c>
      <c r="E87" s="34">
        <v>-7.4849042580645175E-2</v>
      </c>
      <c r="F87" s="34">
        <v>-7.0429999999999998E-3</v>
      </c>
      <c r="G87" s="34">
        <v>-6.3720000025177304E-2</v>
      </c>
    </row>
    <row r="88" spans="2:14" x14ac:dyDescent="0.35">
      <c r="B88" s="8">
        <v>39783</v>
      </c>
      <c r="C88" s="34">
        <v>2.2800000000000001E-4</v>
      </c>
      <c r="D88" s="34">
        <v>5.5607211746822927E-2</v>
      </c>
      <c r="E88" s="34">
        <v>7.8215768970539834E-3</v>
      </c>
      <c r="F88" s="34">
        <v>0.17408299999999999</v>
      </c>
      <c r="G88" s="34">
        <v>8.8684156680155279E-2</v>
      </c>
      <c r="J88">
        <f t="shared" ref="J88:N88" si="6">PRODUCT(1+C77,1+C78,1+C79,1+C80,1+C81,1+C82,1+C83,1+C84,1+C85,1+C86,1+C87,1+C88)-1</f>
        <v>1.7676722066476414E-2</v>
      </c>
      <c r="K88">
        <f t="shared" si="6"/>
        <v>-0.34800204549161351</v>
      </c>
      <c r="L88">
        <f t="shared" si="6"/>
        <v>-0.38485793046178673</v>
      </c>
      <c r="M88">
        <f t="shared" si="6"/>
        <v>0.22490320362790839</v>
      </c>
      <c r="N88">
        <f t="shared" si="6"/>
        <v>-0.4103107993377576</v>
      </c>
    </row>
    <row r="89" spans="2:14" x14ac:dyDescent="0.35">
      <c r="B89" s="8">
        <v>39815</v>
      </c>
      <c r="C89" s="34">
        <v>2.9E-5</v>
      </c>
      <c r="D89" s="34">
        <v>-0.1119631828139791</v>
      </c>
      <c r="E89" s="34">
        <v>-8.5657342928314395E-2</v>
      </c>
      <c r="F89" s="34">
        <v>0.14655599999999999</v>
      </c>
      <c r="G89" s="34">
        <v>-0.13731612951757355</v>
      </c>
    </row>
    <row r="90" spans="2:14" x14ac:dyDescent="0.35">
      <c r="B90" s="8">
        <v>39846</v>
      </c>
      <c r="C90" s="34">
        <v>2.3E-5</v>
      </c>
      <c r="D90" s="34">
        <v>-0.12290039032962907</v>
      </c>
      <c r="E90" s="34">
        <v>-0.10993119757149228</v>
      </c>
      <c r="F90" s="34">
        <v>-0.14738200000000001</v>
      </c>
      <c r="G90" s="34">
        <v>-0.10387595880255818</v>
      </c>
    </row>
    <row r="91" spans="2:14" x14ac:dyDescent="0.35">
      <c r="B91" s="8">
        <v>39874</v>
      </c>
      <c r="C91" s="34">
        <v>1.47E-4</v>
      </c>
      <c r="D91" s="34">
        <v>8.6705084452614045E-2</v>
      </c>
      <c r="E91" s="34">
        <v>8.540446162249471E-2</v>
      </c>
      <c r="F91" s="34">
        <v>-1.6445999999999999E-2</v>
      </c>
      <c r="G91" s="34">
        <v>8.390999967613344E-2</v>
      </c>
    </row>
    <row r="92" spans="2:14" x14ac:dyDescent="0.35">
      <c r="B92" s="8">
        <v>39904</v>
      </c>
      <c r="C92" s="34">
        <v>1.5899999999999999E-4</v>
      </c>
      <c r="D92" s="34">
        <v>0.15330573151981075</v>
      </c>
      <c r="E92" s="34">
        <v>9.3925079862164695E-2</v>
      </c>
      <c r="F92" s="34">
        <v>3.5147999999999999E-2</v>
      </c>
      <c r="G92" s="34">
        <v>0.11519019401520358</v>
      </c>
    </row>
    <row r="93" spans="2:14" x14ac:dyDescent="0.35">
      <c r="B93" s="8">
        <v>39934</v>
      </c>
      <c r="C93" s="34">
        <v>1.25E-4</v>
      </c>
      <c r="D93" s="34">
        <v>2.8755412785115286E-2</v>
      </c>
      <c r="E93" s="34">
        <v>5.3081446255385467E-2</v>
      </c>
      <c r="F93" s="34">
        <v>-8.4485000000000005E-2</v>
      </c>
      <c r="G93" s="34">
        <v>0.13191793580720246</v>
      </c>
    </row>
    <row r="94" spans="2:14" x14ac:dyDescent="0.35">
      <c r="B94" s="8">
        <v>39965</v>
      </c>
      <c r="C94" s="34">
        <v>1.7E-5</v>
      </c>
      <c r="D94" s="34">
        <v>1.3357813656149631E-2</v>
      </c>
      <c r="E94" s="34">
        <v>1.9582653030303376E-4</v>
      </c>
      <c r="F94" s="34">
        <v>-4.5685000000000003E-2</v>
      </c>
      <c r="G94" s="34">
        <v>-1.4049153661269687E-2</v>
      </c>
    </row>
    <row r="95" spans="2:14" x14ac:dyDescent="0.35">
      <c r="B95" s="8">
        <v>39995</v>
      </c>
      <c r="C95" s="34">
        <v>7.4999999999999993E-5</v>
      </c>
      <c r="D95" s="34">
        <v>9.5282173399075631E-2</v>
      </c>
      <c r="E95" s="34">
        <v>7.4141727016716619E-2</v>
      </c>
      <c r="F95" s="34">
        <v>4.9319999999999998E-3</v>
      </c>
      <c r="G95" s="34">
        <v>0.10041475482902729</v>
      </c>
    </row>
    <row r="96" spans="2:14" x14ac:dyDescent="0.35">
      <c r="B96" s="8">
        <v>40028</v>
      </c>
      <c r="C96" s="34">
        <v>1.1900000000000001E-4</v>
      </c>
      <c r="D96" s="34">
        <v>2.759063856048205E-2</v>
      </c>
      <c r="E96" s="34">
        <v>3.3560189240494864E-2</v>
      </c>
      <c r="F96" s="34">
        <v>8.8090000000000009E-3</v>
      </c>
      <c r="G96" s="34">
        <v>4.5030690464146428E-2</v>
      </c>
    </row>
    <row r="97" spans="2:14" x14ac:dyDescent="0.35">
      <c r="B97" s="8">
        <v>40057</v>
      </c>
      <c r="C97" s="34">
        <v>1.16E-4</v>
      </c>
      <c r="D97" s="34">
        <v>5.630433619289521E-2</v>
      </c>
      <c r="E97" s="34">
        <v>3.5723345788458705E-2</v>
      </c>
      <c r="F97" s="34">
        <v>2.4427999999999998E-2</v>
      </c>
      <c r="G97" s="34">
        <v>3.7965069539037E-2</v>
      </c>
    </row>
    <row r="98" spans="2:14" x14ac:dyDescent="0.35">
      <c r="B98" s="8">
        <v>40087</v>
      </c>
      <c r="C98" s="34">
        <v>7.8999999999999996E-5</v>
      </c>
      <c r="D98" s="34">
        <v>-6.8693332574126797E-2</v>
      </c>
      <c r="E98" s="34">
        <v>-1.9762000860415463E-2</v>
      </c>
      <c r="F98" s="34">
        <v>2.4702999999999999E-2</v>
      </c>
      <c r="G98" s="34">
        <v>-2.5237693818365492E-2</v>
      </c>
    </row>
    <row r="99" spans="2:14" x14ac:dyDescent="0.35">
      <c r="B99" s="8">
        <v>40119</v>
      </c>
      <c r="C99" s="34">
        <v>4.0000000000000003E-5</v>
      </c>
      <c r="D99" s="34">
        <v>3.0136573373258146E-2</v>
      </c>
      <c r="E99" s="34">
        <v>5.736406198137356E-2</v>
      </c>
      <c r="F99" s="34">
        <v>-2.4908E-2</v>
      </c>
      <c r="G99" s="34">
        <v>3.9212001862626078E-2</v>
      </c>
    </row>
    <row r="100" spans="2:14" x14ac:dyDescent="0.35">
      <c r="B100" s="8">
        <v>40148</v>
      </c>
      <c r="C100" s="34">
        <v>3.9999999999999998E-6</v>
      </c>
      <c r="D100" s="34">
        <v>7.8760865532605306E-2</v>
      </c>
      <c r="E100" s="34">
        <v>1.7770571188400419E-2</v>
      </c>
      <c r="F100" s="34">
        <v>7.0720000000000002E-3</v>
      </c>
      <c r="G100" s="34">
        <v>7.0961442175840883E-3</v>
      </c>
      <c r="J100">
        <f t="shared" ref="J100:N100" si="7">PRODUCT(1+C89,1+C90,1+C91,1+C92,1+C93,1+C94,1+C95,1+C96,1+C97,1+C98,1+C99,1+C100)-1</f>
        <v>9.3338269873677326E-4</v>
      </c>
      <c r="K100">
        <f t="shared" si="7"/>
        <v>0.25215737305858643</v>
      </c>
      <c r="L100">
        <f t="shared" si="7"/>
        <v>0.2345419053418214</v>
      </c>
      <c r="M100">
        <f t="shared" si="7"/>
        <v>-9.1261714538978689E-2</v>
      </c>
      <c r="N100">
        <f t="shared" si="7"/>
        <v>0.26991361602920039</v>
      </c>
    </row>
    <row r="101" spans="2:14" x14ac:dyDescent="0.35">
      <c r="B101" s="8">
        <v>40182</v>
      </c>
      <c r="C101" s="34">
        <v>6.2000000000000003E-5</v>
      </c>
      <c r="D101" s="34">
        <v>-3.7336760165574301E-2</v>
      </c>
      <c r="E101" s="34">
        <v>-3.6974246154947377E-2</v>
      </c>
      <c r="F101" s="34">
        <v>-6.5864000000000006E-2</v>
      </c>
      <c r="G101" s="34">
        <v>-5.0651206335221133E-2</v>
      </c>
    </row>
    <row r="102" spans="2:14" x14ac:dyDescent="0.35">
      <c r="B102" s="8">
        <v>40210</v>
      </c>
      <c r="C102" s="34">
        <v>2.8E-5</v>
      </c>
      <c r="D102" s="34">
        <v>4.4050264050736976E-2</v>
      </c>
      <c r="E102" s="34">
        <v>2.8513688940531301E-2</v>
      </c>
      <c r="F102" s="34">
        <v>2.7460999999999999E-2</v>
      </c>
      <c r="G102" s="34">
        <v>2.6677025621766326E-3</v>
      </c>
    </row>
    <row r="103" spans="2:14" x14ac:dyDescent="0.35">
      <c r="B103" s="8">
        <v>40238</v>
      </c>
      <c r="C103" s="34">
        <v>1.0000000000000001E-5</v>
      </c>
      <c r="D103" s="34">
        <v>7.9674203193566884E-2</v>
      </c>
      <c r="E103" s="34">
        <v>5.8796426031891835E-2</v>
      </c>
      <c r="F103" s="34">
        <v>-7.626E-3</v>
      </c>
      <c r="G103" s="34">
        <v>6.3854005792531199E-2</v>
      </c>
    </row>
    <row r="104" spans="2:14" x14ac:dyDescent="0.35">
      <c r="B104" s="8">
        <v>40269</v>
      </c>
      <c r="C104" s="34">
        <v>6.7999999999999999E-5</v>
      </c>
      <c r="D104" s="34">
        <v>5.5935341507971748E-2</v>
      </c>
      <c r="E104" s="34">
        <v>1.4759229883791081E-2</v>
      </c>
      <c r="F104" s="34">
        <v>-2.0687000000000001E-2</v>
      </c>
      <c r="G104" s="34">
        <v>-2.8045647628661796E-2</v>
      </c>
    </row>
    <row r="105" spans="2:14" x14ac:dyDescent="0.35">
      <c r="B105" s="8">
        <v>40301</v>
      </c>
      <c r="C105" s="34">
        <v>1.11E-4</v>
      </c>
      <c r="D105" s="34">
        <v>-7.6737360928965326E-2</v>
      </c>
      <c r="E105" s="34">
        <v>-8.1975841910334468E-2</v>
      </c>
      <c r="F105" s="34">
        <v>3.5548999999999997E-2</v>
      </c>
      <c r="G105" s="34">
        <v>-0.11192802988631489</v>
      </c>
    </row>
    <row r="106" spans="2:14" x14ac:dyDescent="0.35">
      <c r="B106" s="8">
        <v>40330</v>
      </c>
      <c r="C106" s="34">
        <v>1.12E-4</v>
      </c>
      <c r="D106" s="34">
        <v>-7.8777521775158843E-2</v>
      </c>
      <c r="E106" s="34">
        <v>-5.3882442026415123E-2</v>
      </c>
      <c r="F106" s="34">
        <v>5.364E-2</v>
      </c>
      <c r="G106" s="34">
        <v>-2.0619307213388116E-2</v>
      </c>
    </row>
    <row r="107" spans="2:14" x14ac:dyDescent="0.35">
      <c r="B107" s="8">
        <v>40360</v>
      </c>
      <c r="C107" s="34">
        <v>1.27E-4</v>
      </c>
      <c r="D107" s="34">
        <v>6.792568488286399E-2</v>
      </c>
      <c r="E107" s="34">
        <v>6.8777849911552336E-2</v>
      </c>
      <c r="F107" s="34">
        <v>5.9837000000000001E-2</v>
      </c>
      <c r="G107" s="34">
        <v>0.11610410643674007</v>
      </c>
    </row>
    <row r="108" spans="2:14" x14ac:dyDescent="0.35">
      <c r="B108" s="8">
        <v>40392</v>
      </c>
      <c r="C108" s="34">
        <v>1.4200000000000001E-4</v>
      </c>
      <c r="D108" s="34">
        <v>-7.5020381131518765E-2</v>
      </c>
      <c r="E108" s="34">
        <v>-4.7449184040287196E-2</v>
      </c>
      <c r="F108" s="34">
        <v>-1.3920999999999999E-2</v>
      </c>
      <c r="G108" s="34">
        <v>-3.7950332417521437E-2</v>
      </c>
    </row>
    <row r="109" spans="2:14" x14ac:dyDescent="0.35">
      <c r="B109" s="8">
        <v>40422</v>
      </c>
      <c r="C109" s="34">
        <v>1.26E-4</v>
      </c>
      <c r="D109" s="34">
        <v>0.12304424350743859</v>
      </c>
      <c r="E109" s="34">
        <v>8.7551102944020132E-2</v>
      </c>
      <c r="F109" s="34">
        <v>8.7290999999999994E-2</v>
      </c>
      <c r="G109" s="34">
        <v>9.9719682133610821E-2</v>
      </c>
    </row>
    <row r="110" spans="2:14" x14ac:dyDescent="0.35">
      <c r="B110" s="8">
        <v>40452</v>
      </c>
      <c r="C110" s="34">
        <v>1.25E-4</v>
      </c>
      <c r="D110" s="34">
        <v>4.0243086337672374E-2</v>
      </c>
      <c r="E110" s="34">
        <v>3.6855994397076541E-2</v>
      </c>
      <c r="F110" s="34">
        <v>-2.7619999999999999E-2</v>
      </c>
      <c r="G110" s="34">
        <v>3.8055306942886835E-2</v>
      </c>
    </row>
    <row r="111" spans="2:14" x14ac:dyDescent="0.35">
      <c r="B111" s="8">
        <v>40483</v>
      </c>
      <c r="C111" s="34">
        <v>1.12E-4</v>
      </c>
      <c r="D111" s="34">
        <v>3.3639062781456675E-2</v>
      </c>
      <c r="E111" s="34">
        <v>-2.2902497989432113E-3</v>
      </c>
      <c r="F111" s="34">
        <v>-4.7613999999999997E-2</v>
      </c>
      <c r="G111" s="34">
        <v>-4.8237101494638224E-2</v>
      </c>
    </row>
    <row r="112" spans="2:14" x14ac:dyDescent="0.35">
      <c r="B112" s="8">
        <v>40513</v>
      </c>
      <c r="C112" s="34">
        <v>1.1400000000000001E-4</v>
      </c>
      <c r="D112" s="34">
        <v>7.7908162502466904E-2</v>
      </c>
      <c r="E112" s="34">
        <v>6.5300040489854716E-2</v>
      </c>
      <c r="F112" s="34">
        <v>-1.8946999999999999E-2</v>
      </c>
      <c r="G112" s="34">
        <v>8.3080686588916652E-2</v>
      </c>
      <c r="J112">
        <f t="shared" ref="J112:N112" si="8">PRODUCT(1+C101,1+C102,1+C103,1+C104,1+C105,1+C106,1+C107,1+C108,1+C109,1+C110,1+C111,1+C112)-1</f>
        <v>1.1375827865354182E-3</v>
      </c>
      <c r="K112">
        <f t="shared" si="8"/>
        <v>0.25305810007216079</v>
      </c>
      <c r="L112">
        <f t="shared" si="8"/>
        <v>0.12782713843408811</v>
      </c>
      <c r="M112">
        <f t="shared" si="8"/>
        <v>5.0686921623577907E-2</v>
      </c>
      <c r="N112">
        <f t="shared" si="8"/>
        <v>8.1694709084043859E-2</v>
      </c>
    </row>
    <row r="113" spans="2:14" x14ac:dyDescent="0.35">
      <c r="B113" s="8">
        <v>40546</v>
      </c>
      <c r="C113" s="34">
        <v>1.3999999999999999E-4</v>
      </c>
      <c r="D113" s="34">
        <v>-3.062622250363134E-3</v>
      </c>
      <c r="E113" s="34">
        <v>2.2645573980086819E-2</v>
      </c>
      <c r="F113" s="34">
        <v>-3.3938000000000003E-2</v>
      </c>
      <c r="G113" s="34">
        <v>2.0954931205005023E-2</v>
      </c>
    </row>
    <row r="114" spans="2:14" x14ac:dyDescent="0.35">
      <c r="B114" s="8">
        <v>40575</v>
      </c>
      <c r="C114" s="34">
        <v>6.6000000000000005E-5</v>
      </c>
      <c r="D114" s="34">
        <v>5.4016015360000003E-2</v>
      </c>
      <c r="E114" s="34">
        <v>3.1956564052952219E-2</v>
      </c>
      <c r="F114" s="34">
        <v>-3.3946999999999998E-2</v>
      </c>
      <c r="G114" s="34">
        <v>3.5497985022906908E-2</v>
      </c>
    </row>
    <row r="115" spans="2:14" x14ac:dyDescent="0.35">
      <c r="B115" s="8">
        <v>40603</v>
      </c>
      <c r="C115" s="34">
        <v>1.22E-4</v>
      </c>
      <c r="D115" s="34">
        <v>2.4409467128649442E-2</v>
      </c>
      <c r="E115" s="34">
        <v>-1.0473132038185673E-3</v>
      </c>
      <c r="F115" s="34">
        <v>1.3722E-2</v>
      </c>
      <c r="G115" s="34">
        <v>-2.3883033147065191E-2</v>
      </c>
    </row>
    <row r="116" spans="2:14" x14ac:dyDescent="0.35">
      <c r="B116" s="8">
        <v>40634</v>
      </c>
      <c r="C116" s="34">
        <v>6.7000000000000002E-5</v>
      </c>
      <c r="D116" s="34">
        <v>2.577202336466633E-2</v>
      </c>
      <c r="E116" s="34">
        <v>2.8495380443795071E-2</v>
      </c>
      <c r="F116" s="34">
        <v>2.477E-3</v>
      </c>
      <c r="G116" s="34">
        <v>5.6258289760679814E-2</v>
      </c>
    </row>
    <row r="117" spans="2:14" x14ac:dyDescent="0.35">
      <c r="B117" s="8">
        <v>40665</v>
      </c>
      <c r="C117" s="34">
        <v>5.3000000000000001E-5</v>
      </c>
      <c r="D117" s="34">
        <v>-1.9635024595188399E-2</v>
      </c>
      <c r="E117" s="34">
        <v>-1.3500952766930641E-2</v>
      </c>
      <c r="F117" s="34">
        <v>2.1351999999999999E-2</v>
      </c>
      <c r="G117" s="34">
        <v>-2.2061068254383587E-2</v>
      </c>
    </row>
    <row r="118" spans="2:14" x14ac:dyDescent="0.35">
      <c r="B118" s="8">
        <v>40695</v>
      </c>
      <c r="C118" s="34">
        <v>1.2999999999999999E-5</v>
      </c>
      <c r="D118" s="34">
        <v>-2.4602139921284571E-2</v>
      </c>
      <c r="E118" s="34">
        <v>-1.825746126569705E-2</v>
      </c>
      <c r="F118" s="34">
        <v>3.4299000000000003E-2</v>
      </c>
      <c r="G118" s="34">
        <v>-1.2107437412146593E-2</v>
      </c>
    </row>
    <row r="119" spans="2:14" x14ac:dyDescent="0.35">
      <c r="B119" s="8">
        <v>40725</v>
      </c>
      <c r="C119" s="34">
        <v>3.4999999999999997E-5</v>
      </c>
      <c r="D119" s="34">
        <v>-3.6740224861536941E-2</v>
      </c>
      <c r="E119" s="34">
        <v>-2.1474425791952023E-2</v>
      </c>
      <c r="F119" s="34">
        <v>-2.0788999999999998E-2</v>
      </c>
      <c r="G119" s="34">
        <v>-2.3777805547157915E-2</v>
      </c>
    </row>
    <row r="120" spans="2:14" x14ac:dyDescent="0.35">
      <c r="B120" s="8">
        <v>40756</v>
      </c>
      <c r="C120" s="34">
        <v>-2.8E-5</v>
      </c>
      <c r="D120" s="34">
        <v>-8.8102114656962383E-2</v>
      </c>
      <c r="E120" s="34">
        <v>-5.6791107463597612E-2</v>
      </c>
      <c r="F120" s="34">
        <v>4.5989000000000002E-2</v>
      </c>
      <c r="G120" s="34">
        <v>-8.7549006237843341E-2</v>
      </c>
    </row>
    <row r="121" spans="2:14" x14ac:dyDescent="0.35">
      <c r="B121" s="8">
        <v>40787</v>
      </c>
      <c r="C121" s="34">
        <v>8.2999999999999998E-5</v>
      </c>
      <c r="D121" s="34">
        <v>-0.1137161365796181</v>
      </c>
      <c r="E121" s="34">
        <v>-7.1761988303760127E-2</v>
      </c>
      <c r="F121" s="34">
        <v>0.100108</v>
      </c>
      <c r="G121" s="34">
        <v>-0.10808285120775429</v>
      </c>
    </row>
    <row r="122" spans="2:14" x14ac:dyDescent="0.35">
      <c r="B122" s="8">
        <v>40819</v>
      </c>
      <c r="C122" s="34">
        <v>-9.9999999999999995E-7</v>
      </c>
      <c r="D122" s="34">
        <v>0.15042851009309754</v>
      </c>
      <c r="E122" s="34">
        <v>0.10772303853581011</v>
      </c>
      <c r="F122" s="34">
        <v>0.13802900000000001</v>
      </c>
      <c r="G122" s="34">
        <v>9.6274601244051405E-2</v>
      </c>
    </row>
    <row r="123" spans="2:14" x14ac:dyDescent="0.35">
      <c r="B123" s="8">
        <v>40848</v>
      </c>
      <c r="C123" s="34">
        <v>1.4E-5</v>
      </c>
      <c r="D123" s="34">
        <v>-4.9119032329686396E-3</v>
      </c>
      <c r="E123" s="34">
        <v>-5.0587151935872487E-3</v>
      </c>
      <c r="F123" s="34">
        <v>-3.7081999999999997E-2</v>
      </c>
      <c r="G123" s="34">
        <v>-2.1763973173716589E-2</v>
      </c>
    </row>
    <row r="124" spans="2:14" x14ac:dyDescent="0.35">
      <c r="B124" s="8">
        <v>40878</v>
      </c>
      <c r="C124" s="34">
        <v>3.9999999999999998E-6</v>
      </c>
      <c r="D124" s="34">
        <v>4.7462776717295263E-3</v>
      </c>
      <c r="E124" s="34">
        <v>8.532763948144062E-3</v>
      </c>
      <c r="F124" s="34">
        <v>2.1635999999999999E-2</v>
      </c>
      <c r="G124" s="34">
        <v>-2.1749513584205182E-2</v>
      </c>
      <c r="J124">
        <f t="shared" ref="J124:N124" si="9">PRODUCT(1+C113,1+C114,1+C115,1+C116,1+C117,1+C118,1+C119,1+C120,1+C121,1+C122,1+C123,1+C124)-1</f>
        <v>5.6813361976915111E-4</v>
      </c>
      <c r="K124">
        <f t="shared" si="9"/>
        <v>-5.4526944032863067E-2</v>
      </c>
      <c r="L124">
        <f t="shared" si="9"/>
        <v>-3.1836614231783855E-5</v>
      </c>
      <c r="M124">
        <f t="shared" si="9"/>
        <v>0.26385815943447777</v>
      </c>
      <c r="N124">
        <f t="shared" si="9"/>
        <v>-0.12230203626058023</v>
      </c>
    </row>
    <row r="125" spans="2:14" ht="13.15" thickBot="1" x14ac:dyDescent="0.4"/>
    <row r="126" spans="2:14" x14ac:dyDescent="0.35">
      <c r="B126" s="11" t="s">
        <v>1</v>
      </c>
      <c r="C126" s="37">
        <f>AVERAGE(C5:C124)</f>
        <v>1.4907000000000002E-3</v>
      </c>
      <c r="D126" s="37">
        <f>AVERAGE(D5:D124)</f>
        <v>5.3474336991536538E-3</v>
      </c>
      <c r="E126" s="37">
        <f>AVERAGE(E5:E124)</f>
        <v>1.8294840704369145E-3</v>
      </c>
      <c r="F126" s="37">
        <f>AVERAGE(F5:F124)</f>
        <v>7.5173916666666663E-3</v>
      </c>
      <c r="G126" s="38">
        <f>AVERAGE(G5:G124)</f>
        <v>5.3755187095581719E-3</v>
      </c>
      <c r="I126" s="11" t="s">
        <v>1</v>
      </c>
      <c r="J126" s="37"/>
      <c r="K126" s="37"/>
      <c r="L126" s="37"/>
      <c r="M126" s="37"/>
      <c r="N126" s="38"/>
    </row>
    <row r="127" spans="2:14" ht="13.15" thickBot="1" x14ac:dyDescent="0.4">
      <c r="B127" s="12" t="s">
        <v>18</v>
      </c>
      <c r="C127" s="39">
        <f>C126*12</f>
        <v>1.7888400000000002E-2</v>
      </c>
      <c r="D127" s="39">
        <f>D126*12</f>
        <v>6.4169204389843845E-2</v>
      </c>
      <c r="E127" s="39">
        <f>E126*12</f>
        <v>2.1953808845242975E-2</v>
      </c>
      <c r="F127" s="39">
        <f>F126*12</f>
        <v>9.0208700000000003E-2</v>
      </c>
      <c r="G127" s="40">
        <f>G126*12</f>
        <v>6.4506224514698063E-2</v>
      </c>
      <c r="I127" s="12" t="s">
        <v>18</v>
      </c>
      <c r="J127" s="39">
        <f>AVERAGE(J16,J28,J40,J52,J64,J76,J88,J100,J112,J124)</f>
        <v>1.8161092530687539E-2</v>
      </c>
      <c r="K127" s="39">
        <f t="shared" ref="K127:M127" si="10">AVERAGE(K16,K28,K40,K52,K64,K76,K88,K100,K112,K124)</f>
        <v>6.8636396456743062E-2</v>
      </c>
      <c r="L127" s="39">
        <f t="shared" si="10"/>
        <v>2.9905843519462849E-2</v>
      </c>
      <c r="M127" s="39">
        <f t="shared" si="10"/>
        <v>8.6154237969653227E-2</v>
      </c>
      <c r="N127" s="40">
        <f>AVERAGE(N16,N28,N40,N52,N64,N76,N88,N100,N112,N124)</f>
        <v>7.4818579216640424E-2</v>
      </c>
    </row>
    <row r="128" spans="2:14" ht="13.15" thickBot="1" x14ac:dyDescent="0.4">
      <c r="C128" s="41"/>
      <c r="D128" s="41"/>
      <c r="E128" s="41"/>
      <c r="F128" s="41"/>
      <c r="G128" s="41"/>
    </row>
    <row r="129" spans="2:14" x14ac:dyDescent="0.35">
      <c r="B129" s="11" t="s">
        <v>13</v>
      </c>
      <c r="C129" s="42">
        <f>_xlfn.STDEV.S(C5:C124)</f>
        <v>1.4140918373181251E-3</v>
      </c>
      <c r="D129" s="42">
        <f>_xlfn.STDEV.S(D5:D124)</f>
        <v>6.0820925227813405E-2</v>
      </c>
      <c r="E129" s="42">
        <f>_xlfn.STDEV.S(E5:E124)</f>
        <v>4.5974214601717987E-2</v>
      </c>
      <c r="F129" s="42">
        <f>_xlfn.STDEV.S(F5:F124)</f>
        <v>4.3281838424252761E-2</v>
      </c>
      <c r="G129" s="43">
        <f>_xlfn.STDEV.S(G5:G124)</f>
        <v>5.6012920341644394E-2</v>
      </c>
      <c r="I129" s="11" t="s">
        <v>13</v>
      </c>
      <c r="J129" s="42"/>
      <c r="K129" s="42"/>
      <c r="L129" s="42"/>
      <c r="M129" s="42"/>
      <c r="N129" s="43"/>
    </row>
    <row r="130" spans="2:14" ht="13.15" thickBot="1" x14ac:dyDescent="0.4">
      <c r="B130" s="12" t="s">
        <v>18</v>
      </c>
      <c r="C130" s="44">
        <f>C129*(12^(1/2))</f>
        <v>4.8985578176068316E-3</v>
      </c>
      <c r="D130" s="44">
        <f>D129*(12^(1/2))</f>
        <v>0.210689865315841</v>
      </c>
      <c r="E130" s="44">
        <f>E129*(12^(1/2))</f>
        <v>0.15925935105650102</v>
      </c>
      <c r="F130" s="44">
        <f>F129*(12^(1/2))</f>
        <v>0.1499326863915853</v>
      </c>
      <c r="G130" s="45">
        <f>G129*(12^(1/2))</f>
        <v>0.19403444782407273</v>
      </c>
      <c r="I130" s="12" t="s">
        <v>18</v>
      </c>
      <c r="J130" s="44">
        <f>_xlfn.STDEV.S(J16,J28,J40,J52,J64,J76,J88,J100,J112,J124)</f>
        <v>1.7699249797616869E-2</v>
      </c>
      <c r="K130" s="44">
        <f t="shared" ref="K130:M130" si="11">_xlfn.STDEV.S(K16,K28,K40,K52,K64,K76,K88,K100,K112,K124)</f>
        <v>0.23959939272093822</v>
      </c>
      <c r="L130" s="44">
        <f t="shared" si="11"/>
        <v>0.20096837955383817</v>
      </c>
      <c r="M130" s="44">
        <f t="shared" si="11"/>
        <v>9.8793721583890395E-2</v>
      </c>
      <c r="N130" s="45">
        <f>_xlfn.STDEV.S(N16,N28,N40,N52,N64,N76,N88,N100,N112,N124)</f>
        <v>0.24111895349758133</v>
      </c>
    </row>
    <row r="133" spans="2:14" ht="13.15" thickBot="1" x14ac:dyDescent="0.4">
      <c r="D133" s="10" t="s">
        <v>15</v>
      </c>
      <c r="E133" s="10" t="s">
        <v>14</v>
      </c>
      <c r="F133" s="10" t="s">
        <v>16</v>
      </c>
      <c r="G133" s="10" t="s">
        <v>17</v>
      </c>
    </row>
    <row r="134" spans="2:14" x14ac:dyDescent="0.35">
      <c r="C134" t="s">
        <v>15</v>
      </c>
      <c r="D134" s="35">
        <f>CORREL(D5:D124,D5:D124)</f>
        <v>1.0000000000000002</v>
      </c>
      <c r="E134" s="13">
        <f>CORREL(D5:D124,E5:E124)</f>
        <v>0.90587773075402311</v>
      </c>
      <c r="F134" s="13">
        <f>CORREL(D5:D124,F5:F124)</f>
        <v>5.1826821328614193E-2</v>
      </c>
      <c r="G134" s="14">
        <f>CORREL(D5:D124,G5:G124)</f>
        <v>0.83445534081916584</v>
      </c>
    </row>
    <row r="135" spans="2:14" x14ac:dyDescent="0.35">
      <c r="C135" t="s">
        <v>14</v>
      </c>
      <c r="D135" s="15">
        <f>CORREL(D5:D124,E5:E124)</f>
        <v>0.90587773075402311</v>
      </c>
      <c r="E135" s="16">
        <f>CORREL(E5:E124,E5:E124)</f>
        <v>1</v>
      </c>
      <c r="F135" s="16">
        <f>CORREL(E5:E124,F5:F124)</f>
        <v>4.2150343321532904E-2</v>
      </c>
      <c r="G135" s="17">
        <f>CORREL(E5:E124,G5:G124)</f>
        <v>0.89531193121826613</v>
      </c>
    </row>
    <row r="136" spans="2:14" x14ac:dyDescent="0.35">
      <c r="C136" t="s">
        <v>16</v>
      </c>
      <c r="D136" s="15">
        <f>CORREL(D5:D124,F5:F124)</f>
        <v>5.1826821328614193E-2</v>
      </c>
      <c r="E136" s="16">
        <f>CORREL(E5:E124,F5:F124)</f>
        <v>4.2150343321532904E-2</v>
      </c>
      <c r="F136" s="16">
        <f>CORREL(F5:F124,F5:F124)</f>
        <v>1</v>
      </c>
      <c r="G136" s="17">
        <f>CORREL(F5:F124,G5:G124)</f>
        <v>2.0460069111775635E-3</v>
      </c>
    </row>
    <row r="137" spans="2:14" ht="13.15" thickBot="1" x14ac:dyDescent="0.4">
      <c r="C137" t="s">
        <v>17</v>
      </c>
      <c r="D137" s="18">
        <f>CORREL(D5:D124,G5:G124)</f>
        <v>0.83445534081916584</v>
      </c>
      <c r="E137" s="19">
        <f>CORREL(E5:E124,G5:G124)</f>
        <v>0.89531193121826613</v>
      </c>
      <c r="F137" s="19">
        <f>CORREL(F5:F124,G5:G124)</f>
        <v>2.0460069111775635E-3</v>
      </c>
      <c r="G137" s="36">
        <f>CORREL(G5:G124,G5:G124)</f>
        <v>1</v>
      </c>
    </row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V36"/>
  <sheetViews>
    <sheetView showGridLines="0" workbookViewId="0">
      <selection activeCell="N33" sqref="N33"/>
    </sheetView>
  </sheetViews>
  <sheetFormatPr defaultColWidth="8.796875" defaultRowHeight="12.75" x14ac:dyDescent="0.35"/>
  <cols>
    <col min="1" max="1" width="9.46484375" customWidth="1"/>
    <col min="2" max="2" width="17.46484375" customWidth="1"/>
    <col min="3" max="3" width="10.796875" customWidth="1"/>
    <col min="8" max="8" width="2.46484375" customWidth="1"/>
    <col min="18" max="18" width="8.796875" customWidth="1"/>
    <col min="19" max="19" width="0.86328125" customWidth="1"/>
  </cols>
  <sheetData>
    <row r="1" spans="2:6" ht="13.15" x14ac:dyDescent="0.4">
      <c r="B1" s="5" t="s">
        <v>20</v>
      </c>
    </row>
    <row r="3" spans="2:6" ht="13.15" x14ac:dyDescent="0.4">
      <c r="B3" s="6" t="s">
        <v>19</v>
      </c>
      <c r="C3" s="6" t="s">
        <v>32</v>
      </c>
      <c r="D3" s="6" t="s">
        <v>33</v>
      </c>
      <c r="F3" s="6"/>
    </row>
    <row r="4" spans="2:6" ht="13.15" x14ac:dyDescent="0.4">
      <c r="B4" s="24" t="s">
        <v>31</v>
      </c>
      <c r="C4" s="25">
        <f>Data!C127*100</f>
        <v>1.7888400000000002</v>
      </c>
      <c r="D4" s="25">
        <f>Data!C130*100</f>
        <v>0.48985578176068317</v>
      </c>
      <c r="F4" s="6"/>
    </row>
    <row r="5" spans="2:6" ht="12" customHeight="1" x14ac:dyDescent="0.35">
      <c r="B5" t="s">
        <v>21</v>
      </c>
      <c r="C5" s="26">
        <f>Data!D127*100</f>
        <v>6.4169204389843841</v>
      </c>
      <c r="D5" s="26">
        <f>Data!D130*100</f>
        <v>21.068986531584098</v>
      </c>
    </row>
    <row r="6" spans="2:6" x14ac:dyDescent="0.35">
      <c r="B6" t="s">
        <v>22</v>
      </c>
      <c r="C6" s="26">
        <f>Data!E127*100</f>
        <v>2.1953808845242975</v>
      </c>
      <c r="D6" s="26">
        <f>Data!E130*100</f>
        <v>15.925935105650101</v>
      </c>
    </row>
    <row r="7" spans="2:6" x14ac:dyDescent="0.35">
      <c r="B7" t="s">
        <v>23</v>
      </c>
      <c r="C7" s="26">
        <f>Data!F127*100</f>
        <v>9.0208700000000004</v>
      </c>
      <c r="D7" s="26">
        <f>Data!F130*100</f>
        <v>14.993268639158529</v>
      </c>
    </row>
    <row r="8" spans="2:6" x14ac:dyDescent="0.35">
      <c r="B8" t="s">
        <v>24</v>
      </c>
      <c r="C8" s="26">
        <f>Data!G127*100</f>
        <v>6.4506224514698065</v>
      </c>
      <c r="D8" s="26">
        <f>Data!G130*100</f>
        <v>19.403444782407274</v>
      </c>
    </row>
    <row r="10" spans="2:6" ht="13.5" thickBot="1" x14ac:dyDescent="0.45">
      <c r="C10" s="5" t="s">
        <v>7</v>
      </c>
    </row>
    <row r="11" spans="2:6" x14ac:dyDescent="0.35">
      <c r="B11" s="2"/>
      <c r="C11" s="2" t="s">
        <v>25</v>
      </c>
      <c r="D11" s="2" t="s">
        <v>26</v>
      </c>
      <c r="E11" s="2" t="s">
        <v>27</v>
      </c>
      <c r="F11" s="2" t="s">
        <v>17</v>
      </c>
    </row>
    <row r="12" spans="2:6" x14ac:dyDescent="0.35">
      <c r="B12" t="s">
        <v>25</v>
      </c>
      <c r="C12" s="27">
        <v>1</v>
      </c>
      <c r="D12" s="27">
        <f>Data!E134</f>
        <v>0.90587773075402311</v>
      </c>
      <c r="E12" s="27">
        <f>Data!F134</f>
        <v>5.1826821328614193E-2</v>
      </c>
      <c r="F12" s="27">
        <f>Data!G134</f>
        <v>0.83445534081916584</v>
      </c>
    </row>
    <row r="13" spans="2:6" x14ac:dyDescent="0.35">
      <c r="B13" t="s">
        <v>26</v>
      </c>
      <c r="C13" s="27">
        <f>Data!D135</f>
        <v>0.90587773075402311</v>
      </c>
      <c r="D13" s="27">
        <v>1</v>
      </c>
      <c r="E13" s="27">
        <f>Data!F135</f>
        <v>4.2150343321532904E-2</v>
      </c>
      <c r="F13" s="27">
        <f>Data!G135</f>
        <v>0.89531193121826613</v>
      </c>
    </row>
    <row r="14" spans="2:6" x14ac:dyDescent="0.35">
      <c r="B14" t="s">
        <v>27</v>
      </c>
      <c r="C14" s="27">
        <f>Data!D136</f>
        <v>5.1826821328614193E-2</v>
      </c>
      <c r="D14" s="27">
        <f>Data!E136</f>
        <v>4.2150343321532904E-2</v>
      </c>
      <c r="E14" s="27">
        <v>1</v>
      </c>
      <c r="F14" s="27">
        <f>Data!G136</f>
        <v>2.0460069111775635E-3</v>
      </c>
    </row>
    <row r="15" spans="2:6" ht="13.15" thickBot="1" x14ac:dyDescent="0.4">
      <c r="B15" s="1" t="s">
        <v>17</v>
      </c>
      <c r="C15" s="28">
        <f>Data!D137</f>
        <v>0.83445534081916584</v>
      </c>
      <c r="D15" s="28">
        <f>Data!E137</f>
        <v>0.89531193121826613</v>
      </c>
      <c r="E15" s="28">
        <f>Data!F137</f>
        <v>2.0460069111775635E-3</v>
      </c>
      <c r="F15" s="28">
        <v>1</v>
      </c>
    </row>
    <row r="17" spans="2:22" ht="13.5" thickBot="1" x14ac:dyDescent="0.45">
      <c r="B17" s="1"/>
      <c r="C17" s="7" t="s">
        <v>3</v>
      </c>
    </row>
    <row r="18" spans="2:22" x14ac:dyDescent="0.35">
      <c r="B18" s="22" t="s">
        <v>2</v>
      </c>
      <c r="C18" s="2" t="s">
        <v>25</v>
      </c>
      <c r="D18" s="2" t="s">
        <v>26</v>
      </c>
      <c r="E18" s="2" t="s">
        <v>27</v>
      </c>
      <c r="F18" s="2" t="s">
        <v>17</v>
      </c>
    </row>
    <row r="19" spans="2:22" x14ac:dyDescent="0.35">
      <c r="B19" t="s">
        <v>25</v>
      </c>
      <c r="C19" s="9">
        <f>C12*D5*D5</f>
        <v>443.90219346807214</v>
      </c>
      <c r="D19" s="9">
        <f>D12*D5*D6</f>
        <v>303.96121426512423</v>
      </c>
      <c r="E19" s="9">
        <f>E12*D5*D7</f>
        <v>16.371728775473802</v>
      </c>
      <c r="F19" s="9">
        <f>F12*D5*D8</f>
        <v>341.1344528979871</v>
      </c>
    </row>
    <row r="20" spans="2:22" x14ac:dyDescent="0.35">
      <c r="B20" t="s">
        <v>26</v>
      </c>
      <c r="C20" s="9">
        <f>C13*D6*D5</f>
        <v>303.96121426512423</v>
      </c>
      <c r="D20" s="9">
        <f>D13*D6*D6</f>
        <v>253.63540898937831</v>
      </c>
      <c r="E20" s="9">
        <f>E13*D6*D7</f>
        <v>10.064735833937288</v>
      </c>
      <c r="F20" s="9">
        <f>F13*D6*D8</f>
        <v>276.66750453742594</v>
      </c>
    </row>
    <row r="21" spans="2:22" x14ac:dyDescent="0.35">
      <c r="B21" t="s">
        <v>27</v>
      </c>
      <c r="C21" s="9">
        <f>C14*D7*D5</f>
        <v>16.371728775473805</v>
      </c>
      <c r="D21" s="9">
        <f>D14*D7*D6</f>
        <v>10.064735833937288</v>
      </c>
      <c r="E21" s="9">
        <f>E14*D7*D7</f>
        <v>224.79810448597465</v>
      </c>
      <c r="F21" s="9">
        <f>F14*D7*D8</f>
        <v>0.59522649966932073</v>
      </c>
    </row>
    <row r="22" spans="2:22" ht="13.15" thickBot="1" x14ac:dyDescent="0.4">
      <c r="B22" s="1" t="s">
        <v>17</v>
      </c>
      <c r="C22" s="23">
        <f>C15*D8*D5</f>
        <v>341.1344528979871</v>
      </c>
      <c r="D22" s="23">
        <f>D15*D8*D6</f>
        <v>276.66750453742594</v>
      </c>
      <c r="E22" s="23">
        <f>E15*D8*D7</f>
        <v>0.59522649966932073</v>
      </c>
      <c r="F22" s="23">
        <f>F15*D8*D8</f>
        <v>376.49366942392805</v>
      </c>
    </row>
    <row r="24" spans="2:22" x14ac:dyDescent="0.35">
      <c r="I24" s="32" t="s">
        <v>5</v>
      </c>
      <c r="J24" s="32" t="s">
        <v>29</v>
      </c>
    </row>
    <row r="25" spans="2:22" ht="13.5" thickBot="1" x14ac:dyDescent="0.45">
      <c r="B25" s="5" t="s">
        <v>45</v>
      </c>
      <c r="F25" t="s">
        <v>4</v>
      </c>
      <c r="I25" s="33" t="s">
        <v>35</v>
      </c>
      <c r="J25" s="33" t="s">
        <v>30</v>
      </c>
      <c r="O25" s="46"/>
      <c r="P25" s="46"/>
      <c r="Q25" s="46"/>
      <c r="R25" s="46"/>
      <c r="S25" s="46"/>
      <c r="T25" s="49"/>
      <c r="U25" s="49"/>
    </row>
    <row r="26" spans="2:22" x14ac:dyDescent="0.35">
      <c r="B26" s="22" t="s">
        <v>28</v>
      </c>
      <c r="C26" s="22" t="s">
        <v>6</v>
      </c>
      <c r="D26" s="2" t="s">
        <v>25</v>
      </c>
      <c r="E26" s="2" t="s">
        <v>26</v>
      </c>
      <c r="F26" s="2" t="s">
        <v>27</v>
      </c>
      <c r="G26" s="2" t="s">
        <v>17</v>
      </c>
      <c r="I26" s="32"/>
      <c r="J26" s="32"/>
      <c r="M26" s="60"/>
      <c r="N26" s="60"/>
      <c r="O26" s="46"/>
      <c r="P26" s="46"/>
      <c r="Q26" s="46"/>
      <c r="R26" s="46"/>
      <c r="T26" s="59"/>
      <c r="U26" s="59"/>
      <c r="V26" s="64"/>
    </row>
    <row r="27" spans="2:22" x14ac:dyDescent="0.35">
      <c r="B27" s="29">
        <v>5.5</v>
      </c>
      <c r="C27" s="31" cm="1">
        <f t="array" ref="C27">SQRT(MMULT(MMULT(D27:G27,$C$19:$F$22),TRANSPOSE(D27:G27)))</f>
        <v>10.889221541636655</v>
      </c>
      <c r="D27" s="3">
        <v>-0.20178454580688515</v>
      </c>
      <c r="E27" s="3">
        <v>0.55803423799120522</v>
      </c>
      <c r="F27" s="3">
        <v>0.55136615927188204</v>
      </c>
      <c r="G27" s="3">
        <v>9.2384148543796438E-2</v>
      </c>
      <c r="I27" s="31">
        <f>(D27*$C$5)+(E27*$C$6)+(F27*$C$7)+(G27*$C$8)</f>
        <v>5.5000000306840695</v>
      </c>
      <c r="J27" s="31">
        <f>SUM(D27:G27)</f>
        <v>0.99999999999999845</v>
      </c>
    </row>
    <row r="28" spans="2:22" x14ac:dyDescent="0.35">
      <c r="B28" s="29">
        <v>8.1999999999999993</v>
      </c>
      <c r="C28" s="31" cm="1">
        <f t="array" ref="C28">SQRT(MMULT(MMULT(D28:G28,$C$19:$F$22),TRANSPOSE(D28:G28)))</f>
        <v>11.931797646698868</v>
      </c>
      <c r="D28" s="3">
        <v>1.8398299293117672E-2</v>
      </c>
      <c r="E28" s="3">
        <v>-1.5081222415303833E-2</v>
      </c>
      <c r="F28" s="3">
        <v>0.65589923171480391</v>
      </c>
      <c r="G28" s="3">
        <v>0.34078369140738224</v>
      </c>
      <c r="I28" s="31">
        <f t="shared" ref="I28:I36" si="0">(D28*$C$5)+(E28*$C$6)+(F28*$C$7)+(G28*$C$8)</f>
        <v>8.2000000286570831</v>
      </c>
      <c r="J28" s="31">
        <f t="shared" ref="J28:J36" si="1">SUM(D28:G28)</f>
        <v>1</v>
      </c>
    </row>
    <row r="29" spans="2:22" x14ac:dyDescent="0.35">
      <c r="B29" s="29">
        <v>11</v>
      </c>
      <c r="C29" s="31" cm="1">
        <f t="array" ref="C29">SQRT(MMULT(MMULT(D29:G29,$C$19:$F$22),TRANSPOSE(D29:G29)))</f>
        <v>13.864705041287788</v>
      </c>
      <c r="D29" s="3">
        <v>0.24673620872458996</v>
      </c>
      <c r="E29" s="3">
        <v>-0.60942320017568585</v>
      </c>
      <c r="F29" s="3">
        <v>0.76430387195352878</v>
      </c>
      <c r="G29" s="3">
        <v>0.59838311949756706</v>
      </c>
      <c r="I29" s="31">
        <f t="shared" si="0"/>
        <v>11.000000031151989</v>
      </c>
      <c r="J29" s="31">
        <f t="shared" si="1"/>
        <v>1</v>
      </c>
    </row>
    <row r="30" spans="2:22" x14ac:dyDescent="0.35">
      <c r="B30" s="29">
        <v>13.9</v>
      </c>
      <c r="C30" s="31" cm="1">
        <f t="array" ref="C30">SQRT(MMULT(MMULT(D30:G30,$C$19:$F$22),TRANSPOSE(D30:G30)))</f>
        <v>16.459335436293014</v>
      </c>
      <c r="D30" s="3">
        <v>0.48322831992169568</v>
      </c>
      <c r="E30" s="3">
        <v>-1.2249915968338869</v>
      </c>
      <c r="F30" s="3">
        <v>0.87658023278393038</v>
      </c>
      <c r="G30" s="3">
        <v>0.86518304412826041</v>
      </c>
      <c r="I30" s="31">
        <f t="shared" si="0"/>
        <v>13.900000041007928</v>
      </c>
      <c r="J30" s="31">
        <f t="shared" si="1"/>
        <v>0.99999999999999956</v>
      </c>
    </row>
    <row r="31" spans="2:22" x14ac:dyDescent="0.35">
      <c r="B31" s="29">
        <v>15.2</v>
      </c>
      <c r="C31" s="31" cm="1">
        <f t="array" ref="C31">SQRT(MMULT(MMULT(D31:G31,$C$19:$F$22),TRANSPOSE(D31:G31)))</f>
        <v>17.751347919963788</v>
      </c>
      <c r="D31" s="3">
        <v>0.58924211793317671</v>
      </c>
      <c r="E31" s="3">
        <v>-1.5009360640303053</v>
      </c>
      <c r="F31" s="3">
        <v>0.92691099253142328</v>
      </c>
      <c r="G31" s="3">
        <v>0.98478295356570522</v>
      </c>
      <c r="I31" s="31">
        <f t="shared" si="0"/>
        <v>15.200000041503207</v>
      </c>
      <c r="J31" s="31">
        <f t="shared" si="1"/>
        <v>0.99999999999999989</v>
      </c>
    </row>
    <row r="32" spans="2:22" x14ac:dyDescent="0.35">
      <c r="B32" s="29">
        <v>17.100000000000001</v>
      </c>
      <c r="C32" s="31" cm="1">
        <f t="array" ref="C32">SQRT(MMULT(MMULT(D32:G32,$C$19:$F$22),TRANSPOSE(D32:G32)))</f>
        <v>19.739700657373941</v>
      </c>
      <c r="D32" s="3">
        <v>0.7441853951866565</v>
      </c>
      <c r="E32" s="3">
        <v>-1.9042395320796479</v>
      </c>
      <c r="F32" s="3">
        <v>1.0004713098924309</v>
      </c>
      <c r="G32" s="3">
        <v>1.1595828270005604</v>
      </c>
      <c r="I32" s="31">
        <f t="shared" si="0"/>
        <v>17.100000047941752</v>
      </c>
      <c r="J32" s="31">
        <f t="shared" si="1"/>
        <v>1</v>
      </c>
    </row>
    <row r="33" spans="2:10" x14ac:dyDescent="0.35">
      <c r="B33" s="29">
        <v>19.7</v>
      </c>
      <c r="C33" s="31" cm="1">
        <f t="array" ref="C33">SQRT(MMULT(MMULT(D33:G33,$C$19:$F$22),TRANSPOSE(D33:G33)))</f>
        <v>22.600928126039545</v>
      </c>
      <c r="D33" s="3">
        <v>0.95621305636626386</v>
      </c>
      <c r="E33" s="3">
        <v>-2.4561284850414866</v>
      </c>
      <c r="F33" s="3">
        <v>1.1011328013058808</v>
      </c>
      <c r="G33" s="3">
        <v>1.3987826273693416</v>
      </c>
      <c r="I33" s="31">
        <f t="shared" si="0"/>
        <v>19.700000053575483</v>
      </c>
      <c r="J33" s="31">
        <f t="shared" si="1"/>
        <v>0.99999999999999956</v>
      </c>
    </row>
    <row r="34" spans="2:10" x14ac:dyDescent="0.35">
      <c r="B34" s="29">
        <v>21.3</v>
      </c>
      <c r="C34" s="31" cm="1">
        <f t="array" ref="C34">SQRT(MMULT(MMULT(D34:G34,$C$19:$F$22),TRANSPOSE(D34:G34)))</f>
        <v>24.420170749864621</v>
      </c>
      <c r="D34" s="3">
        <v>1.0866916332551981</v>
      </c>
      <c r="E34" s="3">
        <v>-2.7957524390273729</v>
      </c>
      <c r="F34" s="3">
        <v>1.1630783596827539</v>
      </c>
      <c r="G34" s="3">
        <v>1.5459824460894203</v>
      </c>
      <c r="I34" s="31">
        <f t="shared" si="0"/>
        <v>21.300000048639717</v>
      </c>
      <c r="J34" s="31">
        <f t="shared" si="1"/>
        <v>0.99999999999999933</v>
      </c>
    </row>
    <row r="35" spans="2:10" x14ac:dyDescent="0.35">
      <c r="B35" s="29">
        <v>23.2</v>
      </c>
      <c r="C35" s="31" cm="1">
        <f t="array" ref="C35">SQRT(MMULT(MMULT(D35:G35,$C$19:$F$22),TRANSPOSE(D35:G35)))</f>
        <v>26.623365793344949</v>
      </c>
      <c r="D35" s="3">
        <v>1.2416349055073495</v>
      </c>
      <c r="E35" s="3">
        <v>-3.1990558718968849</v>
      </c>
      <c r="F35" s="3">
        <v>1.23663873758704</v>
      </c>
      <c r="G35" s="3">
        <v>1.7207822288024948</v>
      </c>
      <c r="I35" s="31">
        <f t="shared" si="0"/>
        <v>23.200000061159351</v>
      </c>
      <c r="J35" s="31">
        <f t="shared" si="1"/>
        <v>0.99999999999999933</v>
      </c>
    </row>
    <row r="36" spans="2:10" ht="13.15" thickBot="1" x14ac:dyDescent="0.4">
      <c r="B36" s="30">
        <v>24.8</v>
      </c>
      <c r="C36" s="72" cm="1">
        <f t="array" ref="C36">SQRT(MMULT(MMULT(D36:G36,$C$19:$F$22),TRANSPOSE(D36:G36)))</f>
        <v>28.507283713183799</v>
      </c>
      <c r="D36" s="4">
        <v>1.3721134668916628</v>
      </c>
      <c r="E36" s="4">
        <v>-3.5386798409554765</v>
      </c>
      <c r="F36" s="4">
        <v>1.2985842740758042</v>
      </c>
      <c r="G36" s="4">
        <v>1.8679820999880095</v>
      </c>
      <c r="I36" s="31">
        <f t="shared" si="0"/>
        <v>24.800000064626271</v>
      </c>
      <c r="J36" s="31">
        <f t="shared" si="1"/>
        <v>1</v>
      </c>
    </row>
  </sheetData>
  <phoneticPr fontId="0" type="noConversion"/>
  <printOptions headings="1" gridLines="1"/>
  <pageMargins left="0.75" right="0.75" top="1" bottom="1" header="0.5" footer="0.5"/>
  <pageSetup scale="88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A9CE-CC3E-4853-A1B3-ED297D8A63D5}">
  <sheetPr>
    <pageSetUpPr fitToPage="1"/>
  </sheetPr>
  <dimension ref="B1:AH52"/>
  <sheetViews>
    <sheetView showGridLines="0" workbookViewId="0">
      <selection activeCell="AF37" sqref="AF37"/>
    </sheetView>
  </sheetViews>
  <sheetFormatPr defaultColWidth="8.796875" defaultRowHeight="12.75" x14ac:dyDescent="0.35"/>
  <cols>
    <col min="1" max="1" width="9.46484375" customWidth="1"/>
    <col min="2" max="2" width="17.46484375" customWidth="1"/>
    <col min="3" max="3" width="10.796875" customWidth="1"/>
    <col min="6" max="6" width="10.33203125" customWidth="1"/>
    <col min="8" max="8" width="9.86328125" customWidth="1"/>
    <col min="12" max="12" width="10" bestFit="1" customWidth="1"/>
    <col min="13" max="13" width="7.265625" bestFit="1" customWidth="1"/>
    <col min="14" max="14" width="8.73046875" bestFit="1" customWidth="1"/>
    <col min="15" max="15" width="9" customWidth="1"/>
    <col min="16" max="16" width="8.59765625" customWidth="1"/>
    <col min="17" max="17" width="7.1328125" customWidth="1"/>
    <col min="18" max="18" width="9.1328125" customWidth="1"/>
    <col min="19" max="19" width="0.86328125" customWidth="1"/>
    <col min="20" max="20" width="6.19921875" bestFit="1" customWidth="1"/>
    <col min="21" max="21" width="8.33203125" bestFit="1" customWidth="1"/>
    <col min="22" max="22" width="9.265625" bestFit="1" customWidth="1"/>
    <col min="23" max="23" width="9.3984375" customWidth="1"/>
    <col min="24" max="24" width="9.265625" customWidth="1"/>
    <col min="25" max="25" width="2.33203125" customWidth="1"/>
    <col min="26" max="26" width="12" bestFit="1" customWidth="1"/>
    <col min="27" max="27" width="13.59765625" bestFit="1" customWidth="1"/>
    <col min="28" max="28" width="14.19921875" bestFit="1" customWidth="1"/>
    <col min="29" max="30" width="13.59765625" bestFit="1" customWidth="1"/>
  </cols>
  <sheetData>
    <row r="1" spans="2:6" ht="13.15" x14ac:dyDescent="0.4">
      <c r="B1" s="5" t="s">
        <v>20</v>
      </c>
    </row>
    <row r="3" spans="2:6" ht="13.15" x14ac:dyDescent="0.4">
      <c r="B3" s="6" t="s">
        <v>19</v>
      </c>
      <c r="C3" s="6" t="s">
        <v>32</v>
      </c>
      <c r="D3" s="6" t="s">
        <v>33</v>
      </c>
      <c r="F3" s="6"/>
    </row>
    <row r="4" spans="2:6" ht="13.15" x14ac:dyDescent="0.4">
      <c r="B4" s="24" t="s">
        <v>31</v>
      </c>
      <c r="C4" s="25">
        <f>Data!C127*100</f>
        <v>1.7888400000000002</v>
      </c>
      <c r="D4" s="25">
        <f>Data!C130*100</f>
        <v>0.48985578176068317</v>
      </c>
      <c r="F4" s="6"/>
    </row>
    <row r="5" spans="2:6" ht="12" customHeight="1" x14ac:dyDescent="0.35">
      <c r="B5" t="s">
        <v>21</v>
      </c>
      <c r="C5" s="26">
        <f>Data!D127*100</f>
        <v>6.4169204389843841</v>
      </c>
      <c r="D5" s="26">
        <f>Data!D130*100</f>
        <v>21.068986531584098</v>
      </c>
    </row>
    <row r="6" spans="2:6" x14ac:dyDescent="0.35">
      <c r="B6" t="s">
        <v>22</v>
      </c>
      <c r="C6" s="26">
        <f>Data!E127*100</f>
        <v>2.1953808845242975</v>
      </c>
      <c r="D6" s="26">
        <f>Data!E130*100</f>
        <v>15.925935105650101</v>
      </c>
    </row>
    <row r="7" spans="2:6" x14ac:dyDescent="0.35">
      <c r="B7" t="s">
        <v>23</v>
      </c>
      <c r="C7" s="26">
        <f>Data!F127*100</f>
        <v>9.0208700000000004</v>
      </c>
      <c r="D7" s="26">
        <f>Data!F130*100</f>
        <v>14.993268639158529</v>
      </c>
    </row>
    <row r="8" spans="2:6" x14ac:dyDescent="0.35">
      <c r="B8" t="s">
        <v>24</v>
      </c>
      <c r="C8" s="26">
        <f>Data!G127*100</f>
        <v>6.4506224514698065</v>
      </c>
      <c r="D8" s="26">
        <f>Data!G130*100</f>
        <v>19.403444782407274</v>
      </c>
    </row>
    <row r="10" spans="2:6" ht="13.5" thickBot="1" x14ac:dyDescent="0.45">
      <c r="C10" s="5" t="s">
        <v>7</v>
      </c>
    </row>
    <row r="11" spans="2:6" x14ac:dyDescent="0.35">
      <c r="B11" s="2"/>
      <c r="C11" s="2" t="s">
        <v>25</v>
      </c>
      <c r="D11" s="2" t="s">
        <v>26</v>
      </c>
      <c r="E11" s="2" t="s">
        <v>27</v>
      </c>
      <c r="F11" s="2" t="s">
        <v>17</v>
      </c>
    </row>
    <row r="12" spans="2:6" x14ac:dyDescent="0.35">
      <c r="B12" t="s">
        <v>25</v>
      </c>
      <c r="C12" s="27">
        <v>1</v>
      </c>
      <c r="D12" s="27">
        <f>Data!E134</f>
        <v>0.90587773075402311</v>
      </c>
      <c r="E12" s="27">
        <f>Data!F134</f>
        <v>5.1826821328614193E-2</v>
      </c>
      <c r="F12" s="27">
        <f>Data!G134</f>
        <v>0.83445534081916584</v>
      </c>
    </row>
    <row r="13" spans="2:6" x14ac:dyDescent="0.35">
      <c r="B13" t="s">
        <v>26</v>
      </c>
      <c r="C13" s="27">
        <f>Data!D135</f>
        <v>0.90587773075402311</v>
      </c>
      <c r="D13" s="27">
        <v>1</v>
      </c>
      <c r="E13" s="27">
        <f>Data!F135</f>
        <v>4.2150343321532904E-2</v>
      </c>
      <c r="F13" s="27">
        <f>Data!G135</f>
        <v>0.89531193121826613</v>
      </c>
    </row>
    <row r="14" spans="2:6" x14ac:dyDescent="0.35">
      <c r="B14" t="s">
        <v>27</v>
      </c>
      <c r="C14" s="27">
        <f>Data!D136</f>
        <v>5.1826821328614193E-2</v>
      </c>
      <c r="D14" s="27">
        <f>Data!E136</f>
        <v>4.2150343321532904E-2</v>
      </c>
      <c r="E14" s="27">
        <v>1</v>
      </c>
      <c r="F14" s="27">
        <f>Data!G136</f>
        <v>2.0460069111775635E-3</v>
      </c>
    </row>
    <row r="15" spans="2:6" ht="13.15" thickBot="1" x14ac:dyDescent="0.4">
      <c r="B15" s="1" t="s">
        <v>17</v>
      </c>
      <c r="C15" s="28">
        <f>Data!D137</f>
        <v>0.83445534081916584</v>
      </c>
      <c r="D15" s="28">
        <f>Data!E137</f>
        <v>0.89531193121826613</v>
      </c>
      <c r="E15" s="28">
        <f>Data!F137</f>
        <v>2.0460069111775635E-3</v>
      </c>
      <c r="F15" s="28">
        <v>1</v>
      </c>
    </row>
    <row r="17" spans="2:34" ht="13.5" thickBot="1" x14ac:dyDescent="0.45">
      <c r="B17" s="1"/>
      <c r="C17" s="7" t="s">
        <v>3</v>
      </c>
    </row>
    <row r="18" spans="2:34" x14ac:dyDescent="0.35">
      <c r="B18" s="22" t="s">
        <v>2</v>
      </c>
      <c r="C18" s="2" t="s">
        <v>25</v>
      </c>
      <c r="D18" s="2" t="s">
        <v>26</v>
      </c>
      <c r="E18" s="2" t="s">
        <v>27</v>
      </c>
      <c r="F18" s="2" t="s">
        <v>17</v>
      </c>
    </row>
    <row r="19" spans="2:34" x14ac:dyDescent="0.35">
      <c r="B19" t="s">
        <v>25</v>
      </c>
      <c r="C19" s="9">
        <f>C12*D5*D5</f>
        <v>443.90219346807214</v>
      </c>
      <c r="D19" s="9">
        <f>D12*D5*D6</f>
        <v>303.96121426512423</v>
      </c>
      <c r="E19" s="9">
        <f>E12*D5*D7</f>
        <v>16.371728775473802</v>
      </c>
      <c r="F19" s="9">
        <f>F12*D5*D8</f>
        <v>341.1344528979871</v>
      </c>
    </row>
    <row r="20" spans="2:34" x14ac:dyDescent="0.35">
      <c r="B20" t="s">
        <v>26</v>
      </c>
      <c r="C20" s="9">
        <f>C13*D6*D5</f>
        <v>303.96121426512423</v>
      </c>
      <c r="D20" s="9">
        <f>D13*D6*D6</f>
        <v>253.63540898937831</v>
      </c>
      <c r="E20" s="9">
        <f>E13*D6*D7</f>
        <v>10.064735833937288</v>
      </c>
      <c r="F20" s="9">
        <f>F13*D6*D8</f>
        <v>276.66750453742594</v>
      </c>
    </row>
    <row r="21" spans="2:34" x14ac:dyDescent="0.35">
      <c r="B21" t="s">
        <v>27</v>
      </c>
      <c r="C21" s="9">
        <f>C14*D7*D5</f>
        <v>16.371728775473805</v>
      </c>
      <c r="D21" s="9">
        <f>D14*D7*D6</f>
        <v>10.064735833937288</v>
      </c>
      <c r="E21" s="9">
        <f>E14*D7*D7</f>
        <v>224.79810448597465</v>
      </c>
      <c r="F21" s="9">
        <f>F14*D7*D8</f>
        <v>0.59522649966932073</v>
      </c>
    </row>
    <row r="22" spans="2:34" ht="13.15" thickBot="1" x14ac:dyDescent="0.4">
      <c r="B22" s="1" t="s">
        <v>17</v>
      </c>
      <c r="C22" s="23">
        <f>C15*D8*D5</f>
        <v>341.1344528979871</v>
      </c>
      <c r="D22" s="23">
        <f>D15*D8*D6</f>
        <v>276.66750453742594</v>
      </c>
      <c r="E22" s="23">
        <f>E15*D8*D7</f>
        <v>0.59522649966932073</v>
      </c>
      <c r="F22" s="23">
        <f>F15*D8*D8</f>
        <v>376.49366942392805</v>
      </c>
    </row>
    <row r="24" spans="2:34" x14ac:dyDescent="0.35">
      <c r="I24" s="32" t="s">
        <v>5</v>
      </c>
      <c r="J24" s="32" t="s">
        <v>29</v>
      </c>
      <c r="V24" s="71"/>
    </row>
    <row r="25" spans="2:34" ht="13.5" thickBot="1" x14ac:dyDescent="0.45">
      <c r="B25" s="5" t="s">
        <v>45</v>
      </c>
      <c r="F25" t="s">
        <v>4</v>
      </c>
      <c r="I25" s="33" t="s">
        <v>35</v>
      </c>
      <c r="J25" s="33" t="s">
        <v>30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Z25" s="78" t="s">
        <v>46</v>
      </c>
      <c r="AA25" s="78"/>
      <c r="AB25" s="78"/>
      <c r="AC25" s="78"/>
      <c r="AD25" s="78"/>
      <c r="AE25" s="78" t="s">
        <v>47</v>
      </c>
      <c r="AF25" s="79"/>
      <c r="AG25" s="79"/>
      <c r="AH25" s="79"/>
    </row>
    <row r="26" spans="2:34" x14ac:dyDescent="0.35">
      <c r="B26" s="22" t="s">
        <v>28</v>
      </c>
      <c r="C26" s="22" t="s">
        <v>6</v>
      </c>
      <c r="D26" s="2" t="s">
        <v>25</v>
      </c>
      <c r="E26" s="2" t="s">
        <v>26</v>
      </c>
      <c r="F26" s="2" t="s">
        <v>27</v>
      </c>
      <c r="G26" s="2" t="s">
        <v>17</v>
      </c>
      <c r="I26" s="32"/>
      <c r="J26" s="32"/>
      <c r="L26" s="22"/>
      <c r="M26" s="67" t="s">
        <v>6</v>
      </c>
      <c r="N26" s="65" t="s">
        <v>41</v>
      </c>
      <c r="O26" s="65" t="s">
        <v>25</v>
      </c>
      <c r="P26" s="65" t="s">
        <v>26</v>
      </c>
      <c r="Q26" s="65" t="s">
        <v>27</v>
      </c>
      <c r="R26" s="65" t="s">
        <v>17</v>
      </c>
      <c r="S26" s="65"/>
      <c r="T26" s="66" t="s">
        <v>35</v>
      </c>
      <c r="U26" s="66" t="s">
        <v>36</v>
      </c>
      <c r="V26" s="67"/>
      <c r="W26" s="67"/>
      <c r="X26" s="67" t="s">
        <v>37</v>
      </c>
      <c r="Z26" s="2" t="s">
        <v>41</v>
      </c>
      <c r="AA26" s="2" t="s">
        <v>25</v>
      </c>
      <c r="AB26" s="2" t="s">
        <v>26</v>
      </c>
      <c r="AC26" s="2" t="s">
        <v>27</v>
      </c>
      <c r="AD26" s="2" t="s">
        <v>17</v>
      </c>
      <c r="AE26" s="2" t="s">
        <v>25</v>
      </c>
      <c r="AF26" s="2" t="s">
        <v>26</v>
      </c>
      <c r="AG26" s="2" t="s">
        <v>27</v>
      </c>
      <c r="AH26" s="2" t="s">
        <v>17</v>
      </c>
    </row>
    <row r="27" spans="2:34" x14ac:dyDescent="0.35">
      <c r="B27" s="53">
        <v>2</v>
      </c>
      <c r="C27" s="47" cm="1">
        <f t="array" ref="C27">SQRT(MMULT(MMULT(D27:G27,$C$19:$F$22),TRANSPOSE(D27:G27)))</f>
        <v>11.100705178908601</v>
      </c>
      <c r="D27" s="51">
        <v>-0.48657716331720874</v>
      </c>
      <c r="E27" s="51">
        <v>1.3010644849490323</v>
      </c>
      <c r="F27" s="51">
        <v>0.41603875748859825</v>
      </c>
      <c r="G27" s="51">
        <v>-0.23052607912042195</v>
      </c>
      <c r="I27" s="31">
        <f>(D27*$C$5)+(E27*$C$6)+(F27*$C$7)+(G27*$C$8)</f>
        <v>1.9999999999999891</v>
      </c>
      <c r="J27" s="31">
        <f>SUM(D27:G27)</f>
        <v>0.99999999999999978</v>
      </c>
      <c r="L27" s="50" t="s">
        <v>43</v>
      </c>
      <c r="M27" s="47" cm="1">
        <f t="array" ref="M27">SQRT(MMULT(MMULT(O27:R27,$C$19:$F$22),TRANSPOSE(O27:R27)))</f>
        <v>39.673981276009485</v>
      </c>
      <c r="N27" s="51">
        <v>0</v>
      </c>
      <c r="O27" s="51">
        <v>2.1237337489583594</v>
      </c>
      <c r="P27" s="51">
        <v>-5.4950846339306603</v>
      </c>
      <c r="Q27" s="51">
        <v>1.6554219345846892</v>
      </c>
      <c r="R27" s="51">
        <v>2.7159289503876121</v>
      </c>
      <c r="T27" s="31">
        <f>(N27*$C$4)+(O27*$C$5)+(P27*$C$6)+(Q27*$C$7)+(R27*$C$8)</f>
        <v>34.0168050674814</v>
      </c>
      <c r="U27" s="31">
        <f>SUM(N27:R27)</f>
        <v>1.0000000000000004</v>
      </c>
      <c r="V27" s="34" cm="1">
        <f t="array" ref="V27">MMULT(N27:R27,$C$4:$C$8)-$C$4</f>
        <v>32.227965067481399</v>
      </c>
      <c r="W27" cm="1">
        <f t="array" ref="W27">MMULT(O27:R27,MMULT($C$19:$F$22,TRANSPOSE(O27:R27)))</f>
        <v>1574.024790289151</v>
      </c>
      <c r="X27">
        <f>V27/SQRT(W27)</f>
        <v>0.81231991423480787</v>
      </c>
      <c r="Z27" s="69">
        <f t="shared" ref="Z27:AD31" si="0">N27*1000000</f>
        <v>0</v>
      </c>
      <c r="AA27" s="69">
        <f t="shared" si="0"/>
        <v>2123733.7489583595</v>
      </c>
      <c r="AB27" s="69">
        <f t="shared" si="0"/>
        <v>-5495084.6339306599</v>
      </c>
      <c r="AC27" s="69">
        <f t="shared" si="0"/>
        <v>1655421.9345846893</v>
      </c>
      <c r="AD27" s="69">
        <f t="shared" si="0"/>
        <v>2715928.950387612</v>
      </c>
    </row>
    <row r="28" spans="2:34" x14ac:dyDescent="0.35">
      <c r="B28" s="53">
        <v>2.5</v>
      </c>
      <c r="C28" s="47" cm="1">
        <f t="array" ref="C28">SQRT(MMULT(MMULT(D28:G28,$C$19:$F$22),TRANSPOSE(D28:G28)))</f>
        <v>10.9593703155019</v>
      </c>
      <c r="D28" s="51">
        <v>-0.44643175350393871</v>
      </c>
      <c r="E28" s="51">
        <v>1.1948291691534239</v>
      </c>
      <c r="F28" s="51">
        <v>0.43521826753849707</v>
      </c>
      <c r="G28" s="51">
        <v>-0.18361568318798241</v>
      </c>
      <c r="I28" s="31">
        <f t="shared" ref="I28:I31" si="1">(D28*$C$5)+(E28*$C$6)+(F28*$C$7)+(G28*$C$8)</f>
        <v>2.5000000392360482</v>
      </c>
      <c r="J28" s="31">
        <f t="shared" ref="J28:J31" si="2">SUM(D28:G28)</f>
        <v>0.99999999999999989</v>
      </c>
      <c r="L28" s="50" t="s">
        <v>38</v>
      </c>
      <c r="M28" s="47" cm="1">
        <f t="array" ref="M28">SQRT(MMULT(MMULT(O28:R28,$C$19:$F$22),TRANSPOSE(O28:R28)))</f>
        <v>7.9333440789756926</v>
      </c>
      <c r="N28" s="51">
        <v>0.8</v>
      </c>
      <c r="O28" s="51">
        <v>0.42475642819383302</v>
      </c>
      <c r="P28" s="51">
        <v>-1.0987597570411423</v>
      </c>
      <c r="Q28" s="51">
        <v>0.33105128077043927</v>
      </c>
      <c r="R28" s="51">
        <v>0.54295204807687036</v>
      </c>
      <c r="T28" s="31">
        <f>(N28*$C$4)+(O28*$C$5)+(P28*$C$6)+(Q28*$C$7)+(R28*$C$8)</f>
        <v>8.233253276934132</v>
      </c>
      <c r="U28" s="31">
        <f>SUM(N28:R28)</f>
        <v>1.0000000000000004</v>
      </c>
      <c r="V28" s="34" cm="1">
        <f t="array" ref="V28">MMULT(N28:R28,$C$4:$C$8)-$C$4</f>
        <v>6.4444132769341316</v>
      </c>
      <c r="W28" cm="1">
        <f t="array" ref="W28">MMULT(O28:R28,MMULT($C$19:$F$22,TRANSPOSE(O28:R28)))</f>
        <v>62.937948275418677</v>
      </c>
      <c r="X28">
        <f>V28/SQRT(W28)</f>
        <v>0.81231990101281437</v>
      </c>
      <c r="Z28" s="69">
        <f t="shared" si="0"/>
        <v>800000</v>
      </c>
      <c r="AA28" s="69">
        <f t="shared" si="0"/>
        <v>424756.42819383304</v>
      </c>
      <c r="AB28" s="69">
        <f t="shared" si="0"/>
        <v>-1098759.7570411423</v>
      </c>
      <c r="AC28" s="69">
        <f t="shared" si="0"/>
        <v>331051.28077043925</v>
      </c>
      <c r="AD28" s="69">
        <f t="shared" si="0"/>
        <v>542952.04807687039</v>
      </c>
      <c r="AE28" s="70">
        <f>AA28/SUM($AA28:$AD28)</f>
        <v>2.123782140969162</v>
      </c>
      <c r="AF28" s="70">
        <f t="shared" ref="AF28:AF30" si="3">AB28/SUM($AA28:$AD28)</f>
        <v>-5.493798785205704</v>
      </c>
      <c r="AG28" s="70">
        <f t="shared" ref="AG28:AG30" si="4">AC28/SUM($AA28:$AD28)</f>
        <v>1.6552564038521937</v>
      </c>
      <c r="AH28" s="70">
        <f t="shared" ref="AH28:AH30" si="5">AD28/SUM($AA28:$AD28)</f>
        <v>2.714760240384348</v>
      </c>
    </row>
    <row r="29" spans="2:34" x14ac:dyDescent="0.35">
      <c r="B29" s="53">
        <v>2.81</v>
      </c>
      <c r="C29" s="47" cm="1">
        <f t="array" ref="C29">SQRT(MMULT(MMULT(D29:G29,$C$19:$F$22),TRANSPOSE(D29:G29)))</f>
        <v>10.889702217173443</v>
      </c>
      <c r="D29" s="51">
        <v>-0.42211027452285499</v>
      </c>
      <c r="E29" s="51">
        <v>1.129036467175313</v>
      </c>
      <c r="F29" s="51">
        <v>0.44722326033323079</v>
      </c>
      <c r="G29" s="51">
        <v>-0.15414945298568891</v>
      </c>
      <c r="I29" s="31">
        <f t="shared" si="1"/>
        <v>2.8100000000074665</v>
      </c>
      <c r="J29" s="31">
        <f t="shared" si="2"/>
        <v>0.99999999999999989</v>
      </c>
      <c r="L29" s="50" t="s">
        <v>39</v>
      </c>
      <c r="M29" s="47" cm="1">
        <f t="array" ref="M29">SQRT(MMULT(MMULT(O29:R29,$C$19:$F$22),TRANSPOSE(O29:R29)))</f>
        <v>23.806838735176818</v>
      </c>
      <c r="N29" s="51">
        <v>0.4</v>
      </c>
      <c r="O29" s="51">
        <v>1.2729607750239571</v>
      </c>
      <c r="P29" s="51">
        <v>-3.297115416209643</v>
      </c>
      <c r="Q29" s="51">
        <v>0.99390109510674041</v>
      </c>
      <c r="R29" s="51">
        <v>1.6302535460789451</v>
      </c>
      <c r="T29" s="31">
        <f t="shared" ref="T29:T30" si="6">(N29*$C$4)+(O29*$C$5)+(P29*$C$6)+(Q29*$C$7)+(R29*$C$8)</f>
        <v>21.127602554200266</v>
      </c>
      <c r="U29" s="31">
        <f t="shared" ref="U29:U30" si="7">SUM(N29:R29)</f>
        <v>0.99999999999999978</v>
      </c>
      <c r="V29" s="34" cm="1">
        <f t="array" ref="V29">MMULT(N29:R29,$C$4:$C$8)-$C$4</f>
        <v>19.338762554200265</v>
      </c>
      <c r="W29" cm="1">
        <f t="array" ref="W29">MMULT(O29:R29,MMULT($C$19:$F$22,TRANSPOSE(O29:R29)))</f>
        <v>566.76557056271531</v>
      </c>
      <c r="X29">
        <f t="shared" ref="X29:X30" si="8">V29/SQRT(W29)</f>
        <v>0.81231963509818905</v>
      </c>
      <c r="Z29" s="69">
        <f t="shared" si="0"/>
        <v>400000</v>
      </c>
      <c r="AA29" s="69">
        <f t="shared" si="0"/>
        <v>1272960.775023957</v>
      </c>
      <c r="AB29" s="69">
        <f t="shared" si="0"/>
        <v>-3297115.4162096428</v>
      </c>
      <c r="AC29" s="69">
        <f t="shared" si="0"/>
        <v>993901.09510674037</v>
      </c>
      <c r="AD29" s="69">
        <f t="shared" si="0"/>
        <v>1630253.546078945</v>
      </c>
      <c r="AE29" s="70">
        <f t="shared" ref="AE29:AE30" si="9">AA29/SUM($AA29:$AD29)</f>
        <v>2.1216012917065963</v>
      </c>
      <c r="AF29" s="70">
        <f t="shared" si="3"/>
        <v>-5.4951923603494075</v>
      </c>
      <c r="AG29" s="70">
        <f t="shared" si="4"/>
        <v>1.6565018251779016</v>
      </c>
      <c r="AH29" s="70">
        <f t="shared" si="5"/>
        <v>2.7170892434649101</v>
      </c>
    </row>
    <row r="30" spans="2:34" x14ac:dyDescent="0.35">
      <c r="B30" s="53">
        <v>3</v>
      </c>
      <c r="C30" s="47" cm="1">
        <f t="array" ref="C30">SQRT(MMULT(MMULT(D30:G30,$C$19:$F$22),TRANSPOSE(D30:G30)))</f>
        <v>10.853932167958984</v>
      </c>
      <c r="D30" s="51">
        <v>-0.40565716844369609</v>
      </c>
      <c r="E30" s="51">
        <v>1.0886967167284565</v>
      </c>
      <c r="F30" s="51">
        <v>0.45457629706100339</v>
      </c>
      <c r="G30" s="51">
        <v>-0.13761584534576352</v>
      </c>
      <c r="I30" s="31">
        <f t="shared" si="1"/>
        <v>3.0000000047464472</v>
      </c>
      <c r="J30" s="31">
        <f t="shared" si="2"/>
        <v>1.0000000000000004</v>
      </c>
      <c r="L30" s="50" t="s">
        <v>40</v>
      </c>
      <c r="M30" s="47" cm="1">
        <f t="array" ref="M30">SQRT(MMULT(MMULT(O30:R30,$C$19:$F$22),TRANSPOSE(O30:R30)))</f>
        <v>35.787076110620639</v>
      </c>
      <c r="N30" s="51">
        <v>0.1</v>
      </c>
      <c r="O30" s="51">
        <v>1.914154227611107</v>
      </c>
      <c r="P30" s="51">
        <v>-4.9594652611207062</v>
      </c>
      <c r="Q30" s="51">
        <v>1.4923552203764427</v>
      </c>
      <c r="R30" s="51">
        <v>2.452955813133157</v>
      </c>
      <c r="T30" s="31">
        <f t="shared" si="6"/>
        <v>30.859378432296737</v>
      </c>
      <c r="U30" s="31">
        <f t="shared" si="7"/>
        <v>1.0000000000000004</v>
      </c>
      <c r="V30" s="34" cm="1">
        <f t="array" ref="V30">MMULT(N30:R30,$C$4:$C$8)-$C$4</f>
        <v>29.070538432296736</v>
      </c>
      <c r="W30" cm="1">
        <f t="array" ref="W30">MMULT(O30:R30,MMULT($C$19:$F$22,TRANSPOSE(O30:R30)))</f>
        <v>1280.7148165473543</v>
      </c>
      <c r="X30">
        <f t="shared" si="8"/>
        <v>0.81231946254668697</v>
      </c>
      <c r="Z30" s="69">
        <f t="shared" si="0"/>
        <v>100000</v>
      </c>
      <c r="AA30" s="69">
        <f t="shared" si="0"/>
        <v>1914154.2276111071</v>
      </c>
      <c r="AB30" s="69">
        <f t="shared" si="0"/>
        <v>-4959465.2611207059</v>
      </c>
      <c r="AC30" s="69">
        <f t="shared" si="0"/>
        <v>1492355.2203764427</v>
      </c>
      <c r="AD30" s="69">
        <f t="shared" si="0"/>
        <v>2452955.8131331569</v>
      </c>
      <c r="AE30" s="70">
        <f t="shared" si="9"/>
        <v>2.1268380306790067</v>
      </c>
      <c r="AF30" s="70">
        <f t="shared" si="3"/>
        <v>-5.5105169568007817</v>
      </c>
      <c r="AG30" s="70">
        <f t="shared" si="4"/>
        <v>1.6581724670849354</v>
      </c>
      <c r="AH30" s="70">
        <f t="shared" si="5"/>
        <v>2.7255064590368394</v>
      </c>
    </row>
    <row r="31" spans="2:34" x14ac:dyDescent="0.35">
      <c r="B31" s="53">
        <v>4</v>
      </c>
      <c r="C31" s="47" cm="1">
        <f t="array" ref="C31">SQRT(MMULT(MMULT(D31:G31,$C$19:$F$22),TRANSPOSE(D31:G31)))</f>
        <v>10.754596671254859</v>
      </c>
      <c r="D31" s="51">
        <v>-0.32412242399136665</v>
      </c>
      <c r="E31" s="51">
        <v>0.87643164197236578</v>
      </c>
      <c r="F31" s="51">
        <v>0.49329192382303322</v>
      </c>
      <c r="G31" s="51">
        <v>-4.5601141804032387E-2</v>
      </c>
      <c r="I31" s="31">
        <f t="shared" si="1"/>
        <v>4.0000000338587478</v>
      </c>
      <c r="J31" s="31">
        <f t="shared" si="2"/>
        <v>1.0000000000000002</v>
      </c>
      <c r="L31" s="50" t="s">
        <v>44</v>
      </c>
      <c r="M31" s="47" cm="1">
        <f t="array" ref="M31">SQRT(MMULT(MMULT(O31:R31,$C$19:$F$22),TRANSPOSE(O31:R31)))</f>
        <v>31.807196647651484</v>
      </c>
      <c r="N31" s="68">
        <v>0.2</v>
      </c>
      <c r="O31" s="68">
        <v>1.7036061306060233</v>
      </c>
      <c r="P31" s="68">
        <v>-4.4079613647284885</v>
      </c>
      <c r="Q31" s="68">
        <v>1.3262000586102429</v>
      </c>
      <c r="R31" s="68">
        <v>2.1781551755122219</v>
      </c>
      <c r="T31" s="31">
        <f t="shared" ref="T31" si="10">(N31*$C$4)+(O31*$C$5)+(P31*$C$6)+(Q31*$C$7)+(R31*$C$8)</f>
        <v>27.626453880278007</v>
      </c>
      <c r="U31" s="31">
        <f t="shared" ref="U31" si="11">SUM(N31:R31)</f>
        <v>0.99999999999999956</v>
      </c>
      <c r="V31" s="34" cm="1">
        <f t="array" ref="V31">MMULT(N31:R31,$C$4:$C$8)-$C$4</f>
        <v>25.837613880278006</v>
      </c>
      <c r="W31" cm="1">
        <f t="array" ref="W31">MMULT(O31:R31,MMULT($C$19:$F$22,TRANSPOSE(O31:R31)))</f>
        <v>1011.6977585823718</v>
      </c>
      <c r="X31">
        <f t="shared" ref="X31" si="12">V31/SQRT(W31)</f>
        <v>0.81231974532360285</v>
      </c>
      <c r="Z31" s="69">
        <f t="shared" si="0"/>
        <v>200000</v>
      </c>
      <c r="AA31" s="69">
        <f t="shared" si="0"/>
        <v>1703606.1306060234</v>
      </c>
      <c r="AB31" s="69">
        <f t="shared" si="0"/>
        <v>-4407961.364728489</v>
      </c>
      <c r="AC31" s="69">
        <f t="shared" si="0"/>
        <v>1326200.058610243</v>
      </c>
      <c r="AD31" s="69">
        <f t="shared" si="0"/>
        <v>2178155.1755122221</v>
      </c>
    </row>
    <row r="32" spans="2:34" x14ac:dyDescent="0.35">
      <c r="B32" s="29">
        <v>5.5</v>
      </c>
      <c r="C32" s="47" cm="1">
        <f t="array" ref="C32">SQRT(MMULT(MMULT(D32:G32,$C$19:$F$22),TRANSPOSE(D32:G32)))</f>
        <v>10.889221541636655</v>
      </c>
      <c r="D32" s="51">
        <v>-0.20178454580688515</v>
      </c>
      <c r="E32" s="51">
        <v>0.55803423799120522</v>
      </c>
      <c r="F32" s="51">
        <v>0.55136615927188204</v>
      </c>
      <c r="G32" s="51">
        <v>9.2384148543796438E-2</v>
      </c>
      <c r="I32" s="31">
        <f>(D32*$C$5)+(E32*$C$6)+(F32*$C$7)+(G32*$C$8)</f>
        <v>5.5000000306840695</v>
      </c>
      <c r="J32" s="31">
        <f>SUM(D32:G32)</f>
        <v>0.99999999999999845</v>
      </c>
    </row>
    <row r="33" spans="2:10" x14ac:dyDescent="0.35">
      <c r="B33" s="29">
        <v>8.1999999999999993</v>
      </c>
      <c r="C33" s="47" cm="1">
        <f t="array" ref="C33">SQRT(MMULT(MMULT(D33:G33,$C$19:$F$22),TRANSPOSE(D33:G33)))</f>
        <v>11.931797646698868</v>
      </c>
      <c r="D33" s="51">
        <v>1.8398299293117672E-2</v>
      </c>
      <c r="E33" s="51">
        <v>-1.5081222415303833E-2</v>
      </c>
      <c r="F33" s="51">
        <v>0.65589923171480391</v>
      </c>
      <c r="G33" s="51">
        <v>0.34078369140738224</v>
      </c>
      <c r="I33" s="31">
        <f t="shared" ref="I33:I41" si="13">(D33*$C$5)+(E33*$C$6)+(F33*$C$7)+(G33*$C$8)</f>
        <v>8.2000000286570831</v>
      </c>
      <c r="J33" s="31">
        <f t="shared" ref="J33:J41" si="14">SUM(D33:G33)</f>
        <v>1</v>
      </c>
    </row>
    <row r="34" spans="2:10" x14ac:dyDescent="0.35">
      <c r="B34" s="29">
        <v>11</v>
      </c>
      <c r="C34" s="47" cm="1">
        <f t="array" ref="C34">SQRT(MMULT(MMULT(D34:G34,$C$19:$F$22),TRANSPOSE(D34:G34)))</f>
        <v>13.864705041287788</v>
      </c>
      <c r="D34" s="51">
        <v>0.24673620872458996</v>
      </c>
      <c r="E34" s="51">
        <v>-0.60942320017568585</v>
      </c>
      <c r="F34" s="51">
        <v>0.76430387195352878</v>
      </c>
      <c r="G34" s="51">
        <v>0.59838311949756706</v>
      </c>
      <c r="I34" s="31">
        <f t="shared" si="13"/>
        <v>11.000000031151989</v>
      </c>
      <c r="J34" s="31">
        <f t="shared" si="14"/>
        <v>1</v>
      </c>
    </row>
    <row r="35" spans="2:10" x14ac:dyDescent="0.35">
      <c r="B35" s="29">
        <v>13.9</v>
      </c>
      <c r="C35" s="47" cm="1">
        <f t="array" ref="C35">SQRT(MMULT(MMULT(D35:G35,$C$19:$F$22),TRANSPOSE(D35:G35)))</f>
        <v>16.459335436293014</v>
      </c>
      <c r="D35" s="51">
        <v>0.48322831992169568</v>
      </c>
      <c r="E35" s="51">
        <v>-1.2249915968338869</v>
      </c>
      <c r="F35" s="51">
        <v>0.87658023278393038</v>
      </c>
      <c r="G35" s="51">
        <v>0.86518304412826041</v>
      </c>
      <c r="I35" s="31">
        <f t="shared" si="13"/>
        <v>13.900000041007928</v>
      </c>
      <c r="J35" s="31">
        <f t="shared" si="14"/>
        <v>0.99999999999999956</v>
      </c>
    </row>
    <row r="36" spans="2:10" x14ac:dyDescent="0.35">
      <c r="B36" s="29">
        <v>15.2</v>
      </c>
      <c r="C36" s="47" cm="1">
        <f t="array" ref="C36">SQRT(MMULT(MMULT(D36:G36,$C$19:$F$22),TRANSPOSE(D36:G36)))</f>
        <v>17.751347919963788</v>
      </c>
      <c r="D36" s="51">
        <v>0.58924211793317671</v>
      </c>
      <c r="E36" s="51">
        <v>-1.5009360640303053</v>
      </c>
      <c r="F36" s="51">
        <v>0.92691099253142328</v>
      </c>
      <c r="G36" s="51">
        <v>0.98478295356570522</v>
      </c>
      <c r="I36" s="31">
        <f t="shared" si="13"/>
        <v>15.200000041503207</v>
      </c>
      <c r="J36" s="31">
        <f t="shared" si="14"/>
        <v>0.99999999999999989</v>
      </c>
    </row>
    <row r="37" spans="2:10" x14ac:dyDescent="0.35">
      <c r="B37" s="29">
        <v>17.100000000000001</v>
      </c>
      <c r="C37" s="47" cm="1">
        <f t="array" ref="C37">SQRT(MMULT(MMULT(D37:G37,$C$19:$F$22),TRANSPOSE(D37:G37)))</f>
        <v>19.739700657373941</v>
      </c>
      <c r="D37" s="51">
        <v>0.7441853951866565</v>
      </c>
      <c r="E37" s="51">
        <v>-1.9042395320796479</v>
      </c>
      <c r="F37" s="51">
        <v>1.0004713098924309</v>
      </c>
      <c r="G37" s="51">
        <v>1.1595828270005604</v>
      </c>
      <c r="I37" s="31">
        <f t="shared" si="13"/>
        <v>17.100000047941752</v>
      </c>
      <c r="J37" s="31">
        <f t="shared" si="14"/>
        <v>1</v>
      </c>
    </row>
    <row r="38" spans="2:10" x14ac:dyDescent="0.35">
      <c r="B38" s="29">
        <v>19.7</v>
      </c>
      <c r="C38" s="47" cm="1">
        <f t="array" ref="C38">SQRT(MMULT(MMULT(D38:G38,$C$19:$F$22),TRANSPOSE(D38:G38)))</f>
        <v>22.600928126039545</v>
      </c>
      <c r="D38" s="51">
        <v>0.95621305636626386</v>
      </c>
      <c r="E38" s="51">
        <v>-2.4561284850414866</v>
      </c>
      <c r="F38" s="51">
        <v>1.1011328013058808</v>
      </c>
      <c r="G38" s="51">
        <v>1.3987826273693416</v>
      </c>
      <c r="I38" s="31">
        <f t="shared" si="13"/>
        <v>19.700000053575483</v>
      </c>
      <c r="J38" s="31">
        <f t="shared" si="14"/>
        <v>0.99999999999999956</v>
      </c>
    </row>
    <row r="39" spans="2:10" x14ac:dyDescent="0.35">
      <c r="B39" s="29">
        <v>21.3</v>
      </c>
      <c r="C39" s="47" cm="1">
        <f t="array" ref="C39">SQRT(MMULT(MMULT(D39:G39,$C$19:$F$22),TRANSPOSE(D39:G39)))</f>
        <v>24.420170749864621</v>
      </c>
      <c r="D39" s="51">
        <v>1.0866916332551981</v>
      </c>
      <c r="E39" s="51">
        <v>-2.7957524390273729</v>
      </c>
      <c r="F39" s="51">
        <v>1.1630783596827539</v>
      </c>
      <c r="G39" s="51">
        <v>1.5459824460894203</v>
      </c>
      <c r="I39" s="31">
        <f t="shared" si="13"/>
        <v>21.300000048639717</v>
      </c>
      <c r="J39" s="31">
        <f t="shared" si="14"/>
        <v>0.99999999999999933</v>
      </c>
    </row>
    <row r="40" spans="2:10" x14ac:dyDescent="0.35">
      <c r="B40" s="29">
        <v>23.2</v>
      </c>
      <c r="C40" s="47" cm="1">
        <f t="array" ref="C40">SQRT(MMULT(MMULT(D40:G40,$C$19:$F$22),TRANSPOSE(D40:G40)))</f>
        <v>26.623365793344949</v>
      </c>
      <c r="D40" s="51">
        <v>1.2416349055073495</v>
      </c>
      <c r="E40" s="51">
        <v>-3.1990558718968849</v>
      </c>
      <c r="F40" s="51">
        <v>1.23663873758704</v>
      </c>
      <c r="G40" s="51">
        <v>1.7207822288024948</v>
      </c>
      <c r="I40" s="31">
        <f t="shared" si="13"/>
        <v>23.200000061159351</v>
      </c>
      <c r="J40" s="31">
        <f t="shared" si="14"/>
        <v>0.99999999999999933</v>
      </c>
    </row>
    <row r="41" spans="2:10" ht="13.15" thickBot="1" x14ac:dyDescent="0.4">
      <c r="B41" s="30">
        <v>24.8</v>
      </c>
      <c r="C41" s="48" cm="1">
        <f t="array" ref="C41">SQRT(MMULT(MMULT(D41:G41,$C$19:$F$22),TRANSPOSE(D41:G41)))</f>
        <v>28.507283713183799</v>
      </c>
      <c r="D41" s="52">
        <v>1.3721134668916628</v>
      </c>
      <c r="E41" s="52">
        <v>-3.5386798409554765</v>
      </c>
      <c r="F41" s="52">
        <v>1.2985842740758042</v>
      </c>
      <c r="G41" s="52">
        <v>1.8679820999880095</v>
      </c>
      <c r="I41" s="31">
        <f t="shared" si="13"/>
        <v>24.800000064626271</v>
      </c>
      <c r="J41" s="31">
        <f t="shared" si="14"/>
        <v>1</v>
      </c>
    </row>
    <row r="42" spans="2:10" x14ac:dyDescent="0.35">
      <c r="B42" s="29">
        <f>T27</f>
        <v>34.0168050674814</v>
      </c>
      <c r="C42" s="47">
        <f>M27</f>
        <v>39.673981276009485</v>
      </c>
      <c r="D42" s="51">
        <f>O27</f>
        <v>2.1237337489583594</v>
      </c>
      <c r="E42" s="51">
        <f t="shared" ref="E42:G42" si="15">P27</f>
        <v>-5.4950846339306603</v>
      </c>
      <c r="F42" s="51">
        <f t="shared" si="15"/>
        <v>1.6554219345846892</v>
      </c>
      <c r="G42" s="51">
        <f t="shared" si="15"/>
        <v>2.7159289503876121</v>
      </c>
      <c r="I42" s="31">
        <f>T27</f>
        <v>34.0168050674814</v>
      </c>
      <c r="J42" s="31">
        <f>U27</f>
        <v>1.0000000000000004</v>
      </c>
    </row>
    <row r="44" spans="2:10" ht="13.15" x14ac:dyDescent="0.4">
      <c r="B44" s="74" t="s">
        <v>42</v>
      </c>
      <c r="C44" s="75"/>
      <c r="D44" s="76"/>
      <c r="F44" s="77"/>
      <c r="G44" s="77"/>
      <c r="H44" s="77"/>
    </row>
    <row r="45" spans="2:10" x14ac:dyDescent="0.35">
      <c r="B45" s="62"/>
      <c r="C45" s="63" t="s">
        <v>35</v>
      </c>
      <c r="D45" s="58" t="s">
        <v>6</v>
      </c>
      <c r="E45" s="50"/>
      <c r="G45" s="50"/>
      <c r="H45" s="50"/>
    </row>
    <row r="46" spans="2:10" x14ac:dyDescent="0.35">
      <c r="B46" s="55" t="s">
        <v>41</v>
      </c>
      <c r="C46" s="59">
        <v>1.8</v>
      </c>
      <c r="D46" s="56">
        <v>0</v>
      </c>
      <c r="E46" s="60"/>
      <c r="F46" s="50"/>
      <c r="G46" s="59"/>
      <c r="H46" s="60"/>
    </row>
    <row r="47" spans="2:10" x14ac:dyDescent="0.35">
      <c r="B47" s="55" t="s">
        <v>43</v>
      </c>
      <c r="C47" s="59">
        <f>T27</f>
        <v>34.0168050674814</v>
      </c>
      <c r="D47" s="56">
        <f>M27</f>
        <v>39.673981276009485</v>
      </c>
      <c r="E47" s="60"/>
      <c r="F47" s="50"/>
      <c r="G47" s="59"/>
      <c r="H47" s="60"/>
    </row>
    <row r="48" spans="2:10" x14ac:dyDescent="0.35">
      <c r="B48" s="55" t="s">
        <v>38</v>
      </c>
      <c r="C48" s="59">
        <f>T28</f>
        <v>8.233253276934132</v>
      </c>
      <c r="D48" s="56">
        <f>M28</f>
        <v>7.9333440789756926</v>
      </c>
      <c r="E48" s="60"/>
      <c r="F48" s="50"/>
      <c r="G48" s="59"/>
      <c r="H48" s="60"/>
    </row>
    <row r="49" spans="2:8" x14ac:dyDescent="0.35">
      <c r="B49" s="55" t="s">
        <v>39</v>
      </c>
      <c r="C49" s="59">
        <f t="shared" ref="C49:C50" si="16">T29</f>
        <v>21.127602554200266</v>
      </c>
      <c r="D49" s="56">
        <f t="shared" ref="D49:D50" si="17">M29</f>
        <v>23.806838735176818</v>
      </c>
      <c r="E49" s="60"/>
      <c r="F49" s="50"/>
      <c r="G49" s="59"/>
      <c r="H49" s="60"/>
    </row>
    <row r="50" spans="2:8" x14ac:dyDescent="0.35">
      <c r="B50" s="55" t="s">
        <v>40</v>
      </c>
      <c r="C50" s="59">
        <f t="shared" si="16"/>
        <v>30.859378432296737</v>
      </c>
      <c r="D50" s="56">
        <f t="shared" si="17"/>
        <v>35.787076110620639</v>
      </c>
      <c r="E50" s="60"/>
      <c r="F50" s="50"/>
      <c r="G50" s="59"/>
      <c r="H50" s="60"/>
    </row>
    <row r="51" spans="2:8" x14ac:dyDescent="0.35">
      <c r="B51" s="73" t="s">
        <v>44</v>
      </c>
      <c r="C51" s="61">
        <f>T31</f>
        <v>27.626453880278007</v>
      </c>
      <c r="D51" s="57">
        <f>M31</f>
        <v>31.807196647651484</v>
      </c>
      <c r="E51" s="60"/>
      <c r="F51" s="50"/>
      <c r="G51" s="59"/>
      <c r="H51" s="60"/>
    </row>
    <row r="52" spans="2:8" x14ac:dyDescent="0.35">
      <c r="B52" s="54"/>
      <c r="C52" s="54"/>
    </row>
  </sheetData>
  <mergeCells count="4">
    <mergeCell ref="B44:D44"/>
    <mergeCell ref="F44:H44"/>
    <mergeCell ref="AE25:AH25"/>
    <mergeCell ref="Z25:AD25"/>
  </mergeCells>
  <printOptions headings="1" gridLines="1"/>
  <pageMargins left="0.75" right="0.75" top="1" bottom="1" header="0.5" footer="0.5"/>
  <pageSetup scale="8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</vt:lpstr>
      <vt:lpstr>Efficient Frontier</vt:lpstr>
      <vt:lpstr>Optimal Allocation</vt:lpstr>
      <vt:lpstr>'Efficient Frontier'!Print_Area</vt:lpstr>
      <vt:lpstr>'Optimal Allocation'!Print_Area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Pauline Kay Golangco</cp:lastModifiedBy>
  <cp:lastPrinted>2001-06-27T03:05:26Z</cp:lastPrinted>
  <dcterms:created xsi:type="dcterms:W3CDTF">2001-02-02T22:01:29Z</dcterms:created>
  <dcterms:modified xsi:type="dcterms:W3CDTF">2023-09-18T04:49:02Z</dcterms:modified>
</cp:coreProperties>
</file>